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188" windowWidth="14808" windowHeight="3948"/>
  </bookViews>
  <sheets>
    <sheet name="ФСГС" sheetId="8" r:id="rId1"/>
  </sheets>
  <definedNames>
    <definedName name="_xlnm.Print_Titles" localSheetId="0">ФСГС!$14:$14</definedName>
    <definedName name="_xlnm.Print_Area" localSheetId="0">ФСГС!$A$1:$AB$574</definedName>
  </definedNames>
  <calcPr calcId="145621" iterate="1"/>
</workbook>
</file>

<file path=xl/calcChain.xml><?xml version="1.0" encoding="utf-8"?>
<calcChain xmlns="http://schemas.openxmlformats.org/spreadsheetml/2006/main">
  <c r="V401" i="8" l="1"/>
  <c r="V206" i="8"/>
  <c r="V192" i="8"/>
  <c r="V127" i="8"/>
  <c r="V101" i="8"/>
  <c r="V97" i="8"/>
  <c r="V89" i="8"/>
  <c r="V93" i="8"/>
  <c r="V56" i="8"/>
  <c r="V63" i="8"/>
  <c r="V116" i="8"/>
  <c r="V132" i="8" l="1"/>
  <c r="AA137" i="8"/>
  <c r="W28" i="8" l="1"/>
  <c r="W27" i="8"/>
  <c r="Z25" i="8"/>
  <c r="Y25" i="8"/>
  <c r="X25" i="8"/>
  <c r="W25" i="8"/>
  <c r="Z24" i="8"/>
  <c r="Y24" i="8"/>
  <c r="X24" i="8"/>
  <c r="W24" i="8"/>
  <c r="V24" i="8"/>
  <c r="V139" i="8" l="1"/>
  <c r="U489" i="8" l="1"/>
  <c r="V489" i="8"/>
  <c r="U490" i="8"/>
  <c r="V490" i="8"/>
  <c r="X488" i="8"/>
  <c r="Y488" i="8"/>
  <c r="Z488" i="8"/>
  <c r="W488" i="8"/>
  <c r="W132" i="8"/>
  <c r="AA489" i="8" l="1"/>
  <c r="AA490" i="8"/>
  <c r="X63" i="8"/>
  <c r="Y63" i="8"/>
  <c r="Z63" i="8"/>
  <c r="V114" i="8" l="1"/>
  <c r="V108" i="8" l="1"/>
  <c r="V226" i="8"/>
  <c r="X474" i="8"/>
  <c r="X475" i="8"/>
  <c r="Y475" i="8"/>
  <c r="W475" i="8"/>
  <c r="W474" i="8"/>
  <c r="V156" i="8"/>
  <c r="V158" i="8"/>
  <c r="W217" i="8"/>
  <c r="X217" i="8"/>
  <c r="Y217" i="8"/>
  <c r="Z217" i="8"/>
  <c r="V217" i="8"/>
  <c r="U502" i="8"/>
  <c r="V502" i="8"/>
  <c r="W502" i="8"/>
  <c r="W499" i="8" s="1"/>
  <c r="X502" i="8"/>
  <c r="X499" i="8" s="1"/>
  <c r="Y502" i="8"/>
  <c r="Y499" i="8" s="1"/>
  <c r="Z502" i="8"/>
  <c r="Z499" i="8" s="1"/>
  <c r="T502" i="8"/>
  <c r="AA514" i="8"/>
  <c r="AA511" i="8"/>
  <c r="AA508" i="8"/>
  <c r="AA505" i="8"/>
  <c r="Z559" i="8"/>
  <c r="W559" i="8"/>
  <c r="X559" i="8"/>
  <c r="X557" i="8" s="1"/>
  <c r="Y559" i="8"/>
  <c r="V559" i="8"/>
  <c r="Z473" i="8"/>
  <c r="W473" i="8"/>
  <c r="AA495" i="8"/>
  <c r="AA494" i="8"/>
  <c r="V493" i="8"/>
  <c r="U493" i="8"/>
  <c r="T493" i="8"/>
  <c r="AA492" i="8"/>
  <c r="AA491" i="8"/>
  <c r="V488" i="8"/>
  <c r="U488" i="8"/>
  <c r="X485" i="8"/>
  <c r="Y485" i="8"/>
  <c r="X479" i="8"/>
  <c r="Y479" i="8"/>
  <c r="X482" i="8"/>
  <c r="Y482" i="8"/>
  <c r="X476" i="8"/>
  <c r="Y476" i="8"/>
  <c r="Y477" i="8"/>
  <c r="Y474" i="8" s="1"/>
  <c r="W219" i="8"/>
  <c r="X219" i="8"/>
  <c r="Y219" i="8"/>
  <c r="W220" i="8"/>
  <c r="X220" i="8"/>
  <c r="Y220" i="8"/>
  <c r="X470" i="8"/>
  <c r="Y205" i="8"/>
  <c r="Y203" i="8" s="1"/>
  <c r="Z205" i="8"/>
  <c r="Z203" i="8" s="1"/>
  <c r="Y198" i="8"/>
  <c r="Y196" i="8" s="1"/>
  <c r="Z198" i="8"/>
  <c r="Z196" i="8" s="1"/>
  <c r="Y191" i="8"/>
  <c r="Y189" i="8" s="1"/>
  <c r="Z191" i="8"/>
  <c r="Z189" i="8" s="1"/>
  <c r="Y184" i="8"/>
  <c r="Z184" i="8"/>
  <c r="Y473" i="8" l="1"/>
  <c r="X473" i="8"/>
  <c r="AA502" i="8"/>
  <c r="AA488" i="8"/>
  <c r="AA493" i="8"/>
  <c r="U144" i="8"/>
  <c r="AA144" i="8" s="1"/>
  <c r="U146" i="8"/>
  <c r="U148" i="8"/>
  <c r="AA148" i="8" s="1"/>
  <c r="U150" i="8"/>
  <c r="AA150" i="8" s="1"/>
  <c r="U142" i="8"/>
  <c r="AA151" i="8"/>
  <c r="AA149" i="8"/>
  <c r="AA147" i="8"/>
  <c r="AA145" i="8"/>
  <c r="Z143" i="8"/>
  <c r="Y143" i="8"/>
  <c r="X143" i="8"/>
  <c r="W143" i="8"/>
  <c r="Z142" i="8"/>
  <c r="Y142" i="8"/>
  <c r="X142" i="8"/>
  <c r="W142" i="8"/>
  <c r="W63" i="8"/>
  <c r="AA143" i="8" l="1"/>
  <c r="AA142" i="8"/>
  <c r="AA146" i="8"/>
  <c r="AA560" i="8"/>
  <c r="AA561" i="8"/>
  <c r="V400" i="8" l="1"/>
  <c r="V270" i="8"/>
  <c r="V271" i="8"/>
  <c r="V225" i="8"/>
  <c r="V545" i="8"/>
  <c r="V547" i="8"/>
  <c r="V506" i="8"/>
  <c r="V512" i="8"/>
  <c r="V509" i="8"/>
  <c r="V110" i="8"/>
  <c r="V73" i="8"/>
  <c r="V74" i="8"/>
  <c r="V79" i="8"/>
  <c r="V78" i="8"/>
  <c r="V67" i="8"/>
  <c r="V58" i="8"/>
  <c r="V60" i="8"/>
  <c r="V199" i="8"/>
  <c r="V185" i="8"/>
  <c r="V500" i="8" l="1"/>
  <c r="V103" i="8"/>
  <c r="V135" i="8"/>
  <c r="V220" i="8" l="1"/>
  <c r="V219" i="8"/>
  <c r="V396" i="8"/>
  <c r="V221" i="8"/>
  <c r="V265" i="8"/>
  <c r="V470" i="8" l="1"/>
  <c r="V218" i="8" s="1"/>
  <c r="V119" i="8" l="1"/>
  <c r="X205" i="8" l="1"/>
  <c r="W205" i="8"/>
  <c r="X198" i="8"/>
  <c r="W198" i="8"/>
  <c r="X191" i="8"/>
  <c r="W191" i="8"/>
  <c r="X184" i="8"/>
  <c r="W184" i="8"/>
  <c r="V25" i="8" l="1"/>
  <c r="W521" i="8"/>
  <c r="X521" i="8"/>
  <c r="V477" i="8"/>
  <c r="V485" i="8"/>
  <c r="V482" i="8"/>
  <c r="V479" i="8"/>
  <c r="V476" i="8"/>
  <c r="V181" i="8" l="1"/>
  <c r="V193" i="8" l="1"/>
  <c r="V194" i="8"/>
  <c r="V186" i="8"/>
  <c r="V187" i="8"/>
  <c r="V200" i="8"/>
  <c r="V201" i="8"/>
  <c r="V207" i="8"/>
  <c r="V208" i="8"/>
  <c r="AA102" i="8"/>
  <c r="W69" i="8"/>
  <c r="X69" i="8"/>
  <c r="Y69" i="8"/>
  <c r="Z69" i="8"/>
  <c r="T69" i="8"/>
  <c r="V205" i="8"/>
  <c r="V198" i="8"/>
  <c r="V191" i="8"/>
  <c r="V184" i="8"/>
  <c r="V533" i="8" l="1"/>
  <c r="V528" i="8"/>
  <c r="V525" i="8"/>
  <c r="V522" i="8"/>
  <c r="V521" i="8"/>
  <c r="V524" i="8"/>
  <c r="V527" i="8"/>
  <c r="V530" i="8"/>
  <c r="AA77" i="8"/>
  <c r="V76" i="8"/>
  <c r="W76" i="8"/>
  <c r="X76" i="8"/>
  <c r="Y76" i="8"/>
  <c r="Z76" i="8"/>
  <c r="AA78" i="8"/>
  <c r="U79" i="8"/>
  <c r="U76" i="8" s="1"/>
  <c r="T79" i="8"/>
  <c r="AA72" i="8"/>
  <c r="V69" i="8"/>
  <c r="AA79" i="8" l="1"/>
  <c r="V65" i="8"/>
  <c r="T76" i="8"/>
  <c r="AA76" i="8" s="1"/>
  <c r="AA73" i="8"/>
  <c r="U93" i="8"/>
  <c r="U400" i="8" l="1"/>
  <c r="U310" i="8"/>
  <c r="U270" i="8"/>
  <c r="U225" i="8"/>
  <c r="U136" i="8" l="1"/>
  <c r="U134" i="8"/>
  <c r="AA38" i="8"/>
  <c r="AA139" i="8"/>
  <c r="AA128" i="8"/>
  <c r="U217" i="8" l="1"/>
  <c r="U25" i="8" l="1"/>
  <c r="U158" i="8"/>
  <c r="U156" i="8"/>
  <c r="U110" i="8"/>
  <c r="U559" i="8"/>
  <c r="U127" i="8"/>
  <c r="U401" i="8"/>
  <c r="U396" i="8" s="1"/>
  <c r="U547" i="8"/>
  <c r="U512" i="8"/>
  <c r="U205" i="8"/>
  <c r="U206" i="8"/>
  <c r="U97" i="8"/>
  <c r="U63" i="8"/>
  <c r="U543" i="8"/>
  <c r="U506" i="8"/>
  <c r="U191" i="8"/>
  <c r="U190" i="8"/>
  <c r="U192" i="8"/>
  <c r="U89" i="8"/>
  <c r="U71" i="8"/>
  <c r="U69" i="8" s="1"/>
  <c r="U58" i="8"/>
  <c r="U312" i="8" l="1"/>
  <c r="U311" i="8"/>
  <c r="U545" i="8"/>
  <c r="U509" i="8"/>
  <c r="U198" i="8"/>
  <c r="U199" i="8"/>
  <c r="U112" i="8"/>
  <c r="U60" i="8"/>
  <c r="U226" i="8"/>
  <c r="U185" i="8"/>
  <c r="U184" i="8"/>
  <c r="U67" i="8"/>
  <c r="U56" i="8"/>
  <c r="U101" i="8" l="1"/>
  <c r="U103" i="8" l="1"/>
  <c r="U116" i="8"/>
  <c r="U470" i="8"/>
  <c r="U567" i="8"/>
  <c r="X132" i="8" l="1"/>
  <c r="Y132" i="8"/>
  <c r="Z132" i="8"/>
  <c r="AA562" i="8" l="1"/>
  <c r="W557" i="8" l="1"/>
  <c r="X523" i="8" l="1"/>
  <c r="X526" i="8"/>
  <c r="X529" i="8"/>
  <c r="X518" i="8"/>
  <c r="AA125" i="8"/>
  <c r="X27" i="8"/>
  <c r="Y27" i="8"/>
  <c r="Z27" i="8"/>
  <c r="U119" i="8" l="1"/>
  <c r="U135" i="8"/>
  <c r="U132" i="8" l="1"/>
  <c r="AA70" i="8" l="1"/>
  <c r="AA71" i="8"/>
  <c r="AA74" i="8"/>
  <c r="V129" i="8" l="1"/>
  <c r="W129" i="8"/>
  <c r="X129" i="8"/>
  <c r="Y129" i="8"/>
  <c r="Z129" i="8"/>
  <c r="U129" i="8" l="1"/>
  <c r="U504" i="8"/>
  <c r="U109" i="8"/>
  <c r="U85" i="8" l="1"/>
  <c r="U503" i="8"/>
  <c r="U204" i="8"/>
  <c r="U197" i="8"/>
  <c r="U183" i="8"/>
  <c r="U108" i="8"/>
  <c r="AA556" i="8" l="1"/>
  <c r="AA555" i="8"/>
  <c r="U219" i="8" l="1"/>
  <c r="U475" i="8"/>
  <c r="U474" i="8"/>
  <c r="U485" i="8"/>
  <c r="U482" i="8"/>
  <c r="U479" i="8"/>
  <c r="U476" i="8"/>
  <c r="U140" i="8"/>
  <c r="AA135" i="8" l="1"/>
  <c r="U211" i="8" l="1"/>
  <c r="U212" i="8"/>
  <c r="U178" i="8"/>
  <c r="U203" i="8"/>
  <c r="AA204" i="8"/>
  <c r="V203" i="8"/>
  <c r="W203" i="8"/>
  <c r="X203" i="8"/>
  <c r="V196" i="8"/>
  <c r="W196" i="8"/>
  <c r="X196" i="8"/>
  <c r="U196" i="8"/>
  <c r="AA197" i="8"/>
  <c r="V189" i="8"/>
  <c r="W189" i="8"/>
  <c r="X189" i="8"/>
  <c r="U189" i="8"/>
  <c r="T190" i="8"/>
  <c r="AA190" i="8" s="1"/>
  <c r="V182" i="8"/>
  <c r="W182" i="8"/>
  <c r="X182" i="8"/>
  <c r="Y182" i="8"/>
  <c r="Z182" i="8"/>
  <c r="AA183" i="8"/>
  <c r="AA184" i="8"/>
  <c r="AA185" i="8"/>
  <c r="U24" i="8"/>
  <c r="AA133" i="8"/>
  <c r="AA134" i="8"/>
  <c r="U220" i="8"/>
  <c r="AA401" i="8"/>
  <c r="AA400" i="8"/>
  <c r="AA310" i="8"/>
  <c r="AA270" i="8"/>
  <c r="U305" i="8"/>
  <c r="AA312" i="8"/>
  <c r="AA311" i="8"/>
  <c r="U265" i="8"/>
  <c r="W265" i="8"/>
  <c r="X265" i="8"/>
  <c r="Y265" i="8"/>
  <c r="Z265" i="8"/>
  <c r="U182" i="8" l="1"/>
  <c r="AA271" i="8"/>
  <c r="AA225" i="8"/>
  <c r="AA226" i="8"/>
  <c r="AA223" i="8"/>
  <c r="U221" i="8"/>
  <c r="U218" i="8" s="1"/>
  <c r="W221" i="8"/>
  <c r="X221" i="8"/>
  <c r="Y221" i="8"/>
  <c r="Z221" i="8"/>
  <c r="U130" i="8" l="1"/>
  <c r="U114" i="8" l="1"/>
  <c r="U519" i="8" l="1"/>
  <c r="U180" i="8"/>
  <c r="U153" i="8" s="1"/>
  <c r="V180" i="8" l="1"/>
  <c r="W180" i="8"/>
  <c r="W153" i="8" s="1"/>
  <c r="X180" i="8"/>
  <c r="X153" i="8" s="1"/>
  <c r="Y180" i="8"/>
  <c r="Y153" i="8" s="1"/>
  <c r="Z180" i="8"/>
  <c r="V178" i="8"/>
  <c r="W178" i="8"/>
  <c r="W154" i="8" s="1"/>
  <c r="X178" i="8"/>
  <c r="X154" i="8" s="1"/>
  <c r="Y178" i="8"/>
  <c r="Y154" i="8" s="1"/>
  <c r="Z178" i="8"/>
  <c r="AA25" i="8"/>
  <c r="AA24" i="8"/>
  <c r="X500" i="8"/>
  <c r="U181" i="8" l="1"/>
  <c r="AA181" i="8" s="1"/>
  <c r="AA202" i="8"/>
  <c r="AA201" i="8"/>
  <c r="AA200" i="8"/>
  <c r="AA195" i="8"/>
  <c r="AA188" i="8"/>
  <c r="AA208" i="8"/>
  <c r="AA209" i="8"/>
  <c r="AA207" i="8"/>
  <c r="AA537" i="8"/>
  <c r="AA559" i="8" l="1"/>
  <c r="AA522" i="8"/>
  <c r="AA131" i="8"/>
  <c r="AA118" i="8"/>
  <c r="AA100" i="8"/>
  <c r="AA98" i="8"/>
  <c r="AA96" i="8"/>
  <c r="AA94" i="8"/>
  <c r="AA92" i="8"/>
  <c r="AA90" i="8"/>
  <c r="AA88" i="8"/>
  <c r="AA86" i="8"/>
  <c r="AA111" i="8"/>
  <c r="AA115" i="8"/>
  <c r="AA113" i="8"/>
  <c r="AA138" i="8"/>
  <c r="AA47" i="8"/>
  <c r="Y30" i="8"/>
  <c r="Y26" i="8" s="1"/>
  <c r="Z30" i="8"/>
  <c r="Z26" i="8" s="1"/>
  <c r="Z107" i="8"/>
  <c r="Z106" i="8"/>
  <c r="Z84" i="8"/>
  <c r="Z36" i="8" s="1"/>
  <c r="Z83" i="8"/>
  <c r="Z82" i="8"/>
  <c r="Z81" i="8"/>
  <c r="Z66" i="8"/>
  <c r="Z35" i="8" s="1"/>
  <c r="Z65" i="8"/>
  <c r="Z55" i="8"/>
  <c r="Z34" i="8" s="1"/>
  <c r="Z54" i="8"/>
  <c r="Z48" i="8"/>
  <c r="Z39" i="8"/>
  <c r="Z33" i="8"/>
  <c r="Z31" i="8"/>
  <c r="Z28" i="8"/>
  <c r="AA126" i="8"/>
  <c r="AA123" i="8"/>
  <c r="AA124" i="8"/>
  <c r="AA122" i="8"/>
  <c r="Z130" i="8"/>
  <c r="AA192" i="8"/>
  <c r="AA206" i="8"/>
  <c r="AA199" i="8"/>
  <c r="AA485" i="8"/>
  <c r="AA479" i="8"/>
  <c r="AA476" i="8"/>
  <c r="AA516" i="8"/>
  <c r="AA515" i="8"/>
  <c r="AA513" i="8"/>
  <c r="AA510" i="8"/>
  <c r="AA507" i="8"/>
  <c r="AA504" i="8"/>
  <c r="Z501" i="8"/>
  <c r="Z497" i="8" s="1"/>
  <c r="Z500" i="8"/>
  <c r="AA487" i="8"/>
  <c r="AA486" i="8"/>
  <c r="AA484" i="8"/>
  <c r="AA483" i="8"/>
  <c r="AA482" i="8"/>
  <c r="AA481" i="8"/>
  <c r="AA480" i="8"/>
  <c r="AA478" i="8"/>
  <c r="AA477" i="8"/>
  <c r="AA472" i="8"/>
  <c r="AA471" i="8"/>
  <c r="Z475" i="8"/>
  <c r="Z154" i="8" s="1"/>
  <c r="Z474" i="8"/>
  <c r="Y160" i="8"/>
  <c r="Z161" i="8"/>
  <c r="Z162" i="8"/>
  <c r="AA172" i="8"/>
  <c r="AA174" i="8"/>
  <c r="AA194" i="8"/>
  <c r="AA193" i="8"/>
  <c r="AA187" i="8"/>
  <c r="AA186" i="8"/>
  <c r="Z177" i="8"/>
  <c r="Z176" i="8"/>
  <c r="AA211" i="8"/>
  <c r="AA215" i="8"/>
  <c r="AA214" i="8"/>
  <c r="Z210" i="8"/>
  <c r="AA538" i="8"/>
  <c r="AA535" i="8"/>
  <c r="AA536" i="8"/>
  <c r="AA533" i="8"/>
  <c r="AA528" i="8"/>
  <c r="AA525" i="8"/>
  <c r="AA531" i="8"/>
  <c r="Z530" i="8"/>
  <c r="Z529" i="8"/>
  <c r="Z527" i="8"/>
  <c r="Z526" i="8"/>
  <c r="Z524" i="8"/>
  <c r="Z523" i="8"/>
  <c r="Z521" i="8"/>
  <c r="Z520" i="8"/>
  <c r="Z519" i="8"/>
  <c r="Z498" i="8" s="1"/>
  <c r="U530" i="8"/>
  <c r="U527" i="8"/>
  <c r="U524" i="8"/>
  <c r="U521" i="8"/>
  <c r="Z160" i="8" l="1"/>
  <c r="Z153" i="8"/>
  <c r="Z29" i="8"/>
  <c r="U534" i="8"/>
  <c r="AA534" i="8" s="1"/>
  <c r="Z175" i="8"/>
  <c r="Z152" i="8" s="1"/>
  <c r="Z518" i="8"/>
  <c r="AA554" i="8"/>
  <c r="AA552" i="8"/>
  <c r="AA549" i="8"/>
  <c r="AA551" i="8"/>
  <c r="Z540" i="8"/>
  <c r="AA542" i="8"/>
  <c r="AA544" i="8"/>
  <c r="AA546" i="8"/>
  <c r="AA548" i="8"/>
  <c r="Z539" i="8"/>
  <c r="AA564" i="8"/>
  <c r="AA565" i="8"/>
  <c r="AA566" i="8"/>
  <c r="AA563" i="8"/>
  <c r="Z557" i="8"/>
  <c r="Z558" i="8"/>
  <c r="AA136" i="8"/>
  <c r="U518" i="8" l="1"/>
  <c r="Z496" i="8"/>
  <c r="AA132" i="8"/>
  <c r="AA205" i="8"/>
  <c r="AA198" i="8"/>
  <c r="AA191" i="8"/>
  <c r="Z15" i="8" l="1"/>
  <c r="X501" i="8"/>
  <c r="U500" i="8"/>
  <c r="W500" i="8"/>
  <c r="Y500" i="8"/>
  <c r="U501" i="8"/>
  <c r="V501" i="8"/>
  <c r="W501" i="8"/>
  <c r="Y501" i="8"/>
  <c r="T501" i="8"/>
  <c r="AA501" i="8" l="1"/>
  <c r="T63" i="8" l="1"/>
  <c r="AA63" i="8" s="1"/>
  <c r="U84" i="8" l="1"/>
  <c r="U36" i="8" s="1"/>
  <c r="AA141" i="8"/>
  <c r="AA140" i="8"/>
  <c r="U570" i="8" l="1"/>
  <c r="T103" i="8" l="1"/>
  <c r="AA103" i="8" s="1"/>
  <c r="T43" i="8"/>
  <c r="T155" i="8" l="1"/>
  <c r="T219" i="8" l="1"/>
  <c r="T158" i="8" l="1"/>
  <c r="X130" i="8" l="1"/>
  <c r="T24" i="8"/>
  <c r="T156" i="8" l="1"/>
  <c r="T25" i="8" l="1"/>
  <c r="T217" i="8" l="1"/>
  <c r="AA217" i="8" s="1"/>
  <c r="T101" i="8" l="1"/>
  <c r="AA101" i="8" s="1"/>
  <c r="T212" i="8"/>
  <c r="AA212" i="8" s="1"/>
  <c r="T213" i="8"/>
  <c r="AA213" i="8" s="1"/>
  <c r="T42" i="8"/>
  <c r="T119" i="8"/>
  <c r="AA119" i="8" s="1"/>
  <c r="T116" i="8"/>
  <c r="AA116" i="8" s="1"/>
  <c r="T547" i="8"/>
  <c r="AA547" i="8" s="1"/>
  <c r="T512" i="8"/>
  <c r="AA512" i="8" s="1"/>
  <c r="T169" i="8"/>
  <c r="T114" i="8"/>
  <c r="AA114" i="8" s="1"/>
  <c r="T97" i="8"/>
  <c r="AA97" i="8" s="1"/>
  <c r="T110" i="8"/>
  <c r="AA110" i="8" s="1"/>
  <c r="T93" i="8"/>
  <c r="AA93" i="8" s="1"/>
  <c r="T89" i="8"/>
  <c r="AA89" i="8" s="1"/>
  <c r="T58" i="8"/>
  <c r="AA58" i="8" s="1"/>
  <c r="T509" i="8"/>
  <c r="AA509" i="8" s="1"/>
  <c r="T60" i="8"/>
  <c r="AA60" i="8" s="1"/>
  <c r="T541" i="8"/>
  <c r="AA541" i="8" s="1"/>
  <c r="T503" i="8"/>
  <c r="AA503" i="8" s="1"/>
  <c r="T108" i="8"/>
  <c r="AA108" i="8" s="1"/>
  <c r="T85" i="8"/>
  <c r="AA85" i="8" s="1"/>
  <c r="T67" i="8"/>
  <c r="AA67" i="8" s="1"/>
  <c r="AA104" i="8" l="1"/>
  <c r="T220" i="8" l="1"/>
  <c r="AA220" i="8" s="1"/>
  <c r="AA571" i="8" l="1"/>
  <c r="U28" i="8" l="1"/>
  <c r="V28" i="8"/>
  <c r="X28" i="8"/>
  <c r="Y28" i="8"/>
  <c r="T28" i="8"/>
  <c r="U27" i="8"/>
  <c r="V27" i="8"/>
  <c r="T27" i="8"/>
  <c r="U162" i="8" l="1"/>
  <c r="V162" i="8"/>
  <c r="W162" i="8"/>
  <c r="X162" i="8"/>
  <c r="Y162" i="8"/>
  <c r="T162" i="8"/>
  <c r="AA162" i="8" s="1"/>
  <c r="U473" i="8"/>
  <c r="V473" i="8"/>
  <c r="T473" i="8"/>
  <c r="V475" i="8"/>
  <c r="T475" i="8"/>
  <c r="V474" i="8"/>
  <c r="V160" i="8" s="1"/>
  <c r="X160" i="8"/>
  <c r="T474" i="8"/>
  <c r="U31" i="8"/>
  <c r="V31" i="8"/>
  <c r="W31" i="8"/>
  <c r="X31" i="8"/>
  <c r="T31" i="8"/>
  <c r="U30" i="8"/>
  <c r="U26" i="8" s="1"/>
  <c r="V30" i="8"/>
  <c r="V26" i="8" s="1"/>
  <c r="W30" i="8"/>
  <c r="W26" i="8" s="1"/>
  <c r="X30" i="8"/>
  <c r="X26" i="8" s="1"/>
  <c r="T30" i="8"/>
  <c r="T26" i="8" s="1"/>
  <c r="AA45" i="8"/>
  <c r="AA44" i="8"/>
  <c r="AA26" i="8" l="1"/>
  <c r="AA30" i="8"/>
  <c r="AA473" i="8"/>
  <c r="AA474" i="8"/>
  <c r="AA475" i="8"/>
  <c r="AA160" i="8"/>
  <c r="Y84" i="8" l="1"/>
  <c r="Y36" i="8" s="1"/>
  <c r="T84" i="8"/>
  <c r="X84" i="8"/>
  <c r="X36" i="8" s="1"/>
  <c r="W84" i="8"/>
  <c r="W36" i="8" s="1"/>
  <c r="U557" i="8"/>
  <c r="V557" i="8"/>
  <c r="Y557" i="8"/>
  <c r="T557" i="8"/>
  <c r="AA557" i="8" l="1"/>
  <c r="T36" i="8"/>
  <c r="V84" i="8"/>
  <c r="V36" i="8" s="1"/>
  <c r="AA570" i="8"/>
  <c r="T203" i="8"/>
  <c r="T196" i="8"/>
  <c r="T189" i="8"/>
  <c r="T182" i="8"/>
  <c r="AA182" i="8" s="1"/>
  <c r="U81" i="8"/>
  <c r="AA36" i="8" l="1"/>
  <c r="AA203" i="8"/>
  <c r="AA84" i="8"/>
  <c r="AA189" i="8"/>
  <c r="AA196" i="8"/>
  <c r="AA170" i="8"/>
  <c r="AA168" i="8"/>
  <c r="AA166" i="8"/>
  <c r="AA164" i="8"/>
  <c r="T178" i="8"/>
  <c r="T109" i="8"/>
  <c r="T56" i="8"/>
  <c r="AA56" i="8" s="1"/>
  <c r="AA169" i="8"/>
  <c r="T543" i="8"/>
  <c r="AA543" i="8" s="1"/>
  <c r="T545" i="8"/>
  <c r="AA545" i="8" s="1"/>
  <c r="T506" i="8"/>
  <c r="AA506" i="8" s="1"/>
  <c r="T470" i="8"/>
  <c r="AA470" i="8" s="1"/>
  <c r="T112" i="8"/>
  <c r="AA112" i="8" s="1"/>
  <c r="AA69" i="8"/>
  <c r="AA42" i="8"/>
  <c r="T130" i="8"/>
  <c r="T165" i="8"/>
  <c r="AA165" i="8" s="1"/>
  <c r="AA567" i="8"/>
  <c r="Y558" i="8"/>
  <c r="X558" i="8"/>
  <c r="W558" i="8"/>
  <c r="V558" i="8"/>
  <c r="U558" i="8"/>
  <c r="T558" i="8"/>
  <c r="AA558" i="8"/>
  <c r="AA553" i="8"/>
  <c r="Y540" i="8"/>
  <c r="X540" i="8"/>
  <c r="W540" i="8"/>
  <c r="V540" i="8"/>
  <c r="V499" i="8" s="1"/>
  <c r="U540" i="8"/>
  <c r="U499" i="8" s="1"/>
  <c r="Y539" i="8"/>
  <c r="X539" i="8"/>
  <c r="W539" i="8"/>
  <c r="V539" i="8"/>
  <c r="U539" i="8"/>
  <c r="U496" i="8" s="1"/>
  <c r="AA532" i="8"/>
  <c r="T530" i="8"/>
  <c r="Y529" i="8"/>
  <c r="W529" i="8"/>
  <c r="V529" i="8"/>
  <c r="U529" i="8"/>
  <c r="T529" i="8"/>
  <c r="T527" i="8"/>
  <c r="Y526" i="8"/>
  <c r="W526" i="8"/>
  <c r="V526" i="8"/>
  <c r="U526" i="8"/>
  <c r="T526" i="8"/>
  <c r="T524" i="8"/>
  <c r="Y523" i="8"/>
  <c r="W523" i="8"/>
  <c r="V523" i="8"/>
  <c r="U523" i="8"/>
  <c r="T523" i="8"/>
  <c r="T521" i="8"/>
  <c r="Y520" i="8"/>
  <c r="X520" i="8"/>
  <c r="W520" i="8"/>
  <c r="V520" i="8"/>
  <c r="U520" i="8"/>
  <c r="T520" i="8"/>
  <c r="Y519" i="8"/>
  <c r="Y498" i="8" s="1"/>
  <c r="X519" i="8"/>
  <c r="X498" i="8" s="1"/>
  <c r="W519" i="8"/>
  <c r="W498" i="8" s="1"/>
  <c r="V519" i="8"/>
  <c r="V498" i="8" s="1"/>
  <c r="U498" i="8"/>
  <c r="T519" i="8"/>
  <c r="Y497" i="8"/>
  <c r="X497" i="8"/>
  <c r="W497" i="8"/>
  <c r="V497" i="8"/>
  <c r="U497" i="8"/>
  <c r="AA469" i="8"/>
  <c r="AA468" i="8"/>
  <c r="AA467" i="8"/>
  <c r="AA466" i="8"/>
  <c r="AA465" i="8"/>
  <c r="T464" i="8"/>
  <c r="AA464" i="8" s="1"/>
  <c r="AA463" i="8"/>
  <c r="AA462" i="8"/>
  <c r="AA461" i="8"/>
  <c r="AA460" i="8"/>
  <c r="AA459" i="8"/>
  <c r="T458" i="8"/>
  <c r="AA458" i="8" s="1"/>
  <c r="AA457" i="8"/>
  <c r="AA456" i="8"/>
  <c r="AA455" i="8"/>
  <c r="AA454" i="8"/>
  <c r="AA453" i="8"/>
  <c r="T452" i="8"/>
  <c r="AA452" i="8" s="1"/>
  <c r="AA451" i="8"/>
  <c r="AA450" i="8"/>
  <c r="AA449" i="8"/>
  <c r="AA448" i="8"/>
  <c r="AA447" i="8"/>
  <c r="T446" i="8"/>
  <c r="AA446" i="8" s="1"/>
  <c r="AA445" i="8"/>
  <c r="AA444" i="8"/>
  <c r="AA443" i="8"/>
  <c r="AA442" i="8"/>
  <c r="AA441" i="8"/>
  <c r="T440" i="8"/>
  <c r="AA440" i="8" s="1"/>
  <c r="AA439" i="8"/>
  <c r="AA438" i="8"/>
  <c r="AA437" i="8"/>
  <c r="AA436" i="8"/>
  <c r="T435" i="8"/>
  <c r="AA435" i="8" s="1"/>
  <c r="AA434" i="8"/>
  <c r="AA433" i="8"/>
  <c r="AA432" i="8"/>
  <c r="AA431" i="8"/>
  <c r="AA430" i="8"/>
  <c r="T429" i="8"/>
  <c r="AA429" i="8" s="1"/>
  <c r="AA428" i="8"/>
  <c r="AA427" i="8"/>
  <c r="AA426" i="8"/>
  <c r="AA425" i="8"/>
  <c r="AA424" i="8"/>
  <c r="T423" i="8"/>
  <c r="AA423" i="8" s="1"/>
  <c r="AA422" i="8"/>
  <c r="AA421" i="8"/>
  <c r="AA420" i="8"/>
  <c r="AA419" i="8"/>
  <c r="AA418" i="8"/>
  <c r="T417" i="8"/>
  <c r="AA417" i="8" s="1"/>
  <c r="AA416" i="8"/>
  <c r="AA415" i="8"/>
  <c r="AA414" i="8"/>
  <c r="AA413" i="8"/>
  <c r="AA412" i="8"/>
  <c r="T411" i="8"/>
  <c r="AA411" i="8" s="1"/>
  <c r="AA410" i="8"/>
  <c r="AA409" i="8"/>
  <c r="AA408" i="8"/>
  <c r="AA407" i="8"/>
  <c r="AA406" i="8"/>
  <c r="T405" i="8"/>
  <c r="AA405" i="8" s="1"/>
  <c r="AA404" i="8"/>
  <c r="AA403" i="8"/>
  <c r="AA402" i="8"/>
  <c r="AA399" i="8"/>
  <c r="T398" i="8"/>
  <c r="AA398" i="8" s="1"/>
  <c r="T397" i="8"/>
  <c r="AA397" i="8" s="1"/>
  <c r="AA395" i="8"/>
  <c r="AA394" i="8"/>
  <c r="AA393" i="8"/>
  <c r="AA392" i="8"/>
  <c r="AA391" i="8"/>
  <c r="AA390" i="8"/>
  <c r="T389" i="8"/>
  <c r="AA389" i="8" s="1"/>
  <c r="AA388" i="8"/>
  <c r="AA387" i="8"/>
  <c r="AA386" i="8"/>
  <c r="AA385" i="8"/>
  <c r="AA384" i="8"/>
  <c r="T383" i="8"/>
  <c r="AA383" i="8" s="1"/>
  <c r="AA382" i="8"/>
  <c r="AA381" i="8"/>
  <c r="AA380" i="8"/>
  <c r="AA379" i="8"/>
  <c r="AA378" i="8"/>
  <c r="T377" i="8"/>
  <c r="AA377" i="8" s="1"/>
  <c r="AA376" i="8"/>
  <c r="AA375" i="8"/>
  <c r="AA374" i="8"/>
  <c r="AA373" i="8"/>
  <c r="AA372" i="8"/>
  <c r="AA371" i="8"/>
  <c r="T370" i="8"/>
  <c r="AA370" i="8" s="1"/>
  <c r="AA369" i="8"/>
  <c r="AA368" i="8"/>
  <c r="AA367" i="8"/>
  <c r="AA366" i="8"/>
  <c r="AA365" i="8"/>
  <c r="AA364" i="8"/>
  <c r="T363" i="8"/>
  <c r="AA363" i="8" s="1"/>
  <c r="AA362" i="8"/>
  <c r="AA361" i="8"/>
  <c r="AA360" i="8"/>
  <c r="AA359" i="8"/>
  <c r="AA358" i="8"/>
  <c r="AA357" i="8"/>
  <c r="T356" i="8"/>
  <c r="AA356" i="8" s="1"/>
  <c r="AA355" i="8"/>
  <c r="AA354" i="8"/>
  <c r="AA353" i="8"/>
  <c r="AA352" i="8"/>
  <c r="AA351" i="8"/>
  <c r="AA350" i="8"/>
  <c r="T349" i="8"/>
  <c r="AA349" i="8" s="1"/>
  <c r="AA348" i="8"/>
  <c r="AA347" i="8"/>
  <c r="AA346" i="8"/>
  <c r="AA345" i="8"/>
  <c r="AA344" i="8"/>
  <c r="AA343" i="8"/>
  <c r="T342" i="8"/>
  <c r="AA342" i="8" s="1"/>
  <c r="AA341" i="8"/>
  <c r="AA340" i="8"/>
  <c r="AA339" i="8"/>
  <c r="AA338" i="8"/>
  <c r="AA337" i="8"/>
  <c r="AA336" i="8"/>
  <c r="T335" i="8"/>
  <c r="AA335" i="8" s="1"/>
  <c r="AA334" i="8"/>
  <c r="AA333" i="8"/>
  <c r="AA332" i="8"/>
  <c r="AA331" i="8"/>
  <c r="AA330" i="8"/>
  <c r="AA329" i="8"/>
  <c r="T328" i="8"/>
  <c r="AA328" i="8" s="1"/>
  <c r="AA327" i="8"/>
  <c r="AA326" i="8"/>
  <c r="AA325" i="8"/>
  <c r="AA324" i="8"/>
  <c r="AA323" i="8"/>
  <c r="AA322" i="8"/>
  <c r="T321" i="8"/>
  <c r="AA321" i="8" s="1"/>
  <c r="AA320" i="8"/>
  <c r="AA319" i="8"/>
  <c r="AA318" i="8"/>
  <c r="AA317" i="8"/>
  <c r="AA316" i="8"/>
  <c r="T315" i="8"/>
  <c r="AA315" i="8" s="1"/>
  <c r="AA314" i="8"/>
  <c r="AA313" i="8"/>
  <c r="AA309" i="8"/>
  <c r="T308" i="8"/>
  <c r="AA308" i="8" s="1"/>
  <c r="AA307" i="8"/>
  <c r="T306" i="8"/>
  <c r="AA304" i="8"/>
  <c r="AA303" i="8"/>
  <c r="AA302" i="8"/>
  <c r="AA301" i="8"/>
  <c r="T300" i="8"/>
  <c r="AA300" i="8" s="1"/>
  <c r="AA299" i="8"/>
  <c r="AA298" i="8"/>
  <c r="AA297" i="8"/>
  <c r="AA296" i="8"/>
  <c r="T295" i="8"/>
  <c r="AA295" i="8" s="1"/>
  <c r="AA294" i="8"/>
  <c r="AA293" i="8"/>
  <c r="AA292" i="8"/>
  <c r="AA291" i="8"/>
  <c r="T290" i="8"/>
  <c r="AA289" i="8"/>
  <c r="AA288" i="8"/>
  <c r="AA287" i="8"/>
  <c r="AA286" i="8"/>
  <c r="T285" i="8"/>
  <c r="AA285" i="8" s="1"/>
  <c r="AA284" i="8"/>
  <c r="AA283" i="8"/>
  <c r="AA282" i="8"/>
  <c r="AA281" i="8"/>
  <c r="T280" i="8"/>
  <c r="AA280" i="8" s="1"/>
  <c r="AA279" i="8"/>
  <c r="AA278" i="8"/>
  <c r="AA277" i="8"/>
  <c r="AA276" i="8"/>
  <c r="AA275" i="8"/>
  <c r="T274" i="8"/>
  <c r="AA274" i="8" s="1"/>
  <c r="AA273" i="8"/>
  <c r="AA272" i="8"/>
  <c r="AA269" i="8"/>
  <c r="T268" i="8"/>
  <c r="AA268" i="8" s="1"/>
  <c r="AA267" i="8"/>
  <c r="T266" i="8"/>
  <c r="AA264" i="8"/>
  <c r="AA263" i="8"/>
  <c r="AA262" i="8"/>
  <c r="AA261" i="8"/>
  <c r="AA260" i="8"/>
  <c r="T259" i="8"/>
  <c r="AA259" i="8" s="1"/>
  <c r="AA258" i="8"/>
  <c r="AA257" i="8"/>
  <c r="AA256" i="8"/>
  <c r="AA255" i="8"/>
  <c r="AA254" i="8"/>
  <c r="AA253" i="8"/>
  <c r="T252" i="8"/>
  <c r="AA252" i="8" s="1"/>
  <c r="AA251" i="8"/>
  <c r="AA250" i="8"/>
  <c r="AA249" i="8"/>
  <c r="AA248" i="8"/>
  <c r="AA247" i="8"/>
  <c r="T246" i="8"/>
  <c r="AA246" i="8" s="1"/>
  <c r="AA245" i="8"/>
  <c r="AA244" i="8"/>
  <c r="AA243" i="8"/>
  <c r="AA242" i="8"/>
  <c r="AA241" i="8"/>
  <c r="T240" i="8"/>
  <c r="AA240" i="8" s="1"/>
  <c r="AA239" i="8"/>
  <c r="AA238" i="8"/>
  <c r="AA237" i="8"/>
  <c r="AA236" i="8"/>
  <c r="T235" i="8"/>
  <c r="AA235" i="8" s="1"/>
  <c r="AA234" i="8"/>
  <c r="AD233" i="8"/>
  <c r="AA233" i="8"/>
  <c r="AD232" i="8"/>
  <c r="AA232" i="8"/>
  <c r="AD231" i="8"/>
  <c r="AA231" i="8"/>
  <c r="AD230" i="8"/>
  <c r="T230" i="8"/>
  <c r="AA230" i="8" s="1"/>
  <c r="AA229" i="8"/>
  <c r="AA228" i="8"/>
  <c r="AA227" i="8"/>
  <c r="T224" i="8"/>
  <c r="AA224" i="8" s="1"/>
  <c r="T222" i="8"/>
  <c r="Y210" i="8"/>
  <c r="Y175" i="8" s="1"/>
  <c r="X210" i="8"/>
  <c r="X175" i="8" s="1"/>
  <c r="W210" i="8"/>
  <c r="W175" i="8" s="1"/>
  <c r="V210" i="8"/>
  <c r="V175" i="8" s="1"/>
  <c r="U210" i="8"/>
  <c r="V153" i="8"/>
  <c r="T180" i="8"/>
  <c r="T179" i="8"/>
  <c r="Y177" i="8"/>
  <c r="X177" i="8"/>
  <c r="W177" i="8"/>
  <c r="V177" i="8"/>
  <c r="U177" i="8"/>
  <c r="Y176" i="8"/>
  <c r="X176" i="8"/>
  <c r="W176" i="8"/>
  <c r="V176" i="8"/>
  <c r="U176" i="8"/>
  <c r="AA167" i="8"/>
  <c r="AA163" i="8"/>
  <c r="Y161" i="8"/>
  <c r="X161" i="8"/>
  <c r="W161" i="8"/>
  <c r="V161" i="8"/>
  <c r="U161" i="8"/>
  <c r="Y130" i="8"/>
  <c r="W130" i="8"/>
  <c r="V130" i="8"/>
  <c r="T127" i="8"/>
  <c r="AA127" i="8" s="1"/>
  <c r="Y107" i="8"/>
  <c r="X107" i="8"/>
  <c r="W107" i="8"/>
  <c r="V107" i="8"/>
  <c r="U107" i="8"/>
  <c r="Y106" i="8"/>
  <c r="X106" i="8"/>
  <c r="W106" i="8"/>
  <c r="V106" i="8"/>
  <c r="U106" i="8"/>
  <c r="Y83" i="8"/>
  <c r="X83" i="8"/>
  <c r="W83" i="8"/>
  <c r="V83" i="8"/>
  <c r="U83" i="8"/>
  <c r="T83" i="8"/>
  <c r="Y82" i="8"/>
  <c r="X82" i="8"/>
  <c r="W82" i="8"/>
  <c r="V82" i="8"/>
  <c r="U82" i="8"/>
  <c r="T82" i="8"/>
  <c r="Y81" i="8"/>
  <c r="X81" i="8"/>
  <c r="W81" i="8"/>
  <c r="V81" i="8"/>
  <c r="Y66" i="8"/>
  <c r="Y35" i="8" s="1"/>
  <c r="X66" i="8"/>
  <c r="X35" i="8" s="1"/>
  <c r="W66" i="8"/>
  <c r="W35" i="8" s="1"/>
  <c r="V66" i="8"/>
  <c r="V35" i="8" s="1"/>
  <c r="U66" i="8"/>
  <c r="U35" i="8" s="1"/>
  <c r="T66" i="8"/>
  <c r="T35" i="8" s="1"/>
  <c r="Y65" i="8"/>
  <c r="X65" i="8"/>
  <c r="W65" i="8"/>
  <c r="U65" i="8"/>
  <c r="AA62" i="8"/>
  <c r="Y55" i="8"/>
  <c r="Y34" i="8" s="1"/>
  <c r="X55" i="8"/>
  <c r="X34" i="8" s="1"/>
  <c r="W55" i="8"/>
  <c r="W34" i="8" s="1"/>
  <c r="V55" i="8"/>
  <c r="V34" i="8" s="1"/>
  <c r="U55" i="8"/>
  <c r="U34" i="8" s="1"/>
  <c r="T55" i="8"/>
  <c r="T34" i="8" s="1"/>
  <c r="Y54" i="8"/>
  <c r="X54" i="8"/>
  <c r="W54" i="8"/>
  <c r="V54" i="8"/>
  <c r="U54" i="8"/>
  <c r="AA51" i="8"/>
  <c r="AA50" i="8"/>
  <c r="AA49" i="8"/>
  <c r="Y48" i="8"/>
  <c r="X48" i="8"/>
  <c r="W48" i="8"/>
  <c r="V48" i="8"/>
  <c r="U48" i="8"/>
  <c r="AA41" i="8"/>
  <c r="AA40" i="8"/>
  <c r="Y39" i="8"/>
  <c r="X39" i="8"/>
  <c r="W39" i="8"/>
  <c r="V39" i="8"/>
  <c r="U39" i="8"/>
  <c r="Y33" i="8"/>
  <c r="X33" i="8"/>
  <c r="W33" i="8"/>
  <c r="V33" i="8"/>
  <c r="U33" i="8"/>
  <c r="T33" i="8"/>
  <c r="Y31" i="8"/>
  <c r="AA31" i="8" s="1"/>
  <c r="AA27" i="8"/>
  <c r="T22" i="8"/>
  <c r="U22" i="8" s="1"/>
  <c r="V22" i="8" s="1"/>
  <c r="W22" i="8" s="1"/>
  <c r="X22" i="8" s="1"/>
  <c r="Y22" i="8" s="1"/>
  <c r="T21" i="8"/>
  <c r="U21" i="8" s="1"/>
  <c r="V21" i="8" s="1"/>
  <c r="T20" i="8"/>
  <c r="U20" i="8" s="1"/>
  <c r="V20" i="8" s="1"/>
  <c r="W20" i="8" s="1"/>
  <c r="X20" i="8" s="1"/>
  <c r="Y20" i="8" s="1"/>
  <c r="T19" i="8"/>
  <c r="U19" i="8" s="1"/>
  <c r="V19" i="8" s="1"/>
  <c r="W19" i="8" s="1"/>
  <c r="X19" i="8" s="1"/>
  <c r="Y19" i="8" s="1"/>
  <c r="T18" i="8"/>
  <c r="U18" i="8" s="1"/>
  <c r="V18" i="8" s="1"/>
  <c r="T17" i="8"/>
  <c r="U17" i="8" s="1"/>
  <c r="V17" i="8" s="1"/>
  <c r="W17" i="8" s="1"/>
  <c r="X17" i="8" s="1"/>
  <c r="Y17" i="8" s="1"/>
  <c r="T16" i="8"/>
  <c r="U16" i="8" s="1"/>
  <c r="W152" i="8" l="1"/>
  <c r="V29" i="8"/>
  <c r="X152" i="8"/>
  <c r="Y29" i="8"/>
  <c r="Y152" i="8"/>
  <c r="W29" i="8"/>
  <c r="X29" i="8"/>
  <c r="U29" i="8"/>
  <c r="T221" i="8"/>
  <c r="AA221" i="8" s="1"/>
  <c r="T265" i="8"/>
  <c r="AA265" i="8" s="1"/>
  <c r="AA33" i="8"/>
  <c r="AA539" i="8"/>
  <c r="AA521" i="8"/>
  <c r="AA178" i="8"/>
  <c r="AA28" i="8"/>
  <c r="AA82" i="8"/>
  <c r="T153" i="8"/>
  <c r="AA153" i="8" s="1"/>
  <c r="AA180" i="8"/>
  <c r="AA524" i="8"/>
  <c r="AA130" i="8"/>
  <c r="AA527" i="8"/>
  <c r="U175" i="8"/>
  <c r="U152" i="8" s="1"/>
  <c r="AA530" i="8"/>
  <c r="AA219" i="8"/>
  <c r="T107" i="8"/>
  <c r="AA107" i="8" s="1"/>
  <c r="AA109" i="8"/>
  <c r="T500" i="8"/>
  <c r="AA500" i="8" s="1"/>
  <c r="T498" i="8"/>
  <c r="AA498" i="8" s="1"/>
  <c r="AA519" i="8"/>
  <c r="U154" i="8"/>
  <c r="AA266" i="8"/>
  <c r="AA306" i="8"/>
  <c r="T305" i="8"/>
  <c r="AA305" i="8" s="1"/>
  <c r="AA222" i="8"/>
  <c r="V154" i="8"/>
  <c r="T154" i="8"/>
  <c r="V152" i="8"/>
  <c r="T540" i="8"/>
  <c r="AA540" i="8" s="1"/>
  <c r="T517" i="8"/>
  <c r="X496" i="8"/>
  <c r="AA523" i="8"/>
  <c r="AA529" i="8"/>
  <c r="V517" i="8"/>
  <c r="Y517" i="8"/>
  <c r="AA520" i="8"/>
  <c r="AA526" i="8"/>
  <c r="X517" i="8"/>
  <c r="T539" i="8"/>
  <c r="W517" i="8"/>
  <c r="T65" i="8"/>
  <c r="AA65" i="8" s="1"/>
  <c r="T518" i="8"/>
  <c r="AA48" i="8"/>
  <c r="U517" i="8"/>
  <c r="T177" i="8"/>
  <c r="AA177" i="8" s="1"/>
  <c r="T106" i="8"/>
  <c r="AA106" i="8" s="1"/>
  <c r="AD234" i="8"/>
  <c r="AA290" i="8"/>
  <c r="T396" i="8"/>
  <c r="AA396" i="8" s="1"/>
  <c r="V518" i="8"/>
  <c r="V496" i="8" s="1"/>
  <c r="T161" i="8"/>
  <c r="AA161" i="8" s="1"/>
  <c r="T176" i="8"/>
  <c r="AA176" i="8" s="1"/>
  <c r="Y518" i="8"/>
  <c r="Y496" i="8" s="1"/>
  <c r="W518" i="8"/>
  <c r="W496" i="8" s="1"/>
  <c r="T81" i="8"/>
  <c r="AA81" i="8" s="1"/>
  <c r="T210" i="8"/>
  <c r="T54" i="8"/>
  <c r="AA54" i="8" s="1"/>
  <c r="AA43" i="8"/>
  <c r="T39" i="8"/>
  <c r="W18" i="8"/>
  <c r="X18" i="8" s="1"/>
  <c r="Y18" i="8" s="1"/>
  <c r="V16" i="8"/>
  <c r="W16" i="8" s="1"/>
  <c r="X16" i="8" s="1"/>
  <c r="Y16" i="8" s="1"/>
  <c r="W21" i="8"/>
  <c r="X21" i="8" s="1"/>
  <c r="Y21" i="8" s="1"/>
  <c r="AA17" i="8"/>
  <c r="AA20" i="8"/>
  <c r="AA19" i="8"/>
  <c r="AA22" i="8"/>
  <c r="X155" i="8" l="1"/>
  <c r="W155" i="8"/>
  <c r="V155" i="8"/>
  <c r="Z155" i="8"/>
  <c r="AA155" i="8" s="1"/>
  <c r="V15" i="8"/>
  <c r="U155" i="8"/>
  <c r="Y155" i="8"/>
  <c r="AA154" i="8"/>
  <c r="U15" i="8"/>
  <c r="X15" i="8"/>
  <c r="Y15" i="8"/>
  <c r="W15" i="8"/>
  <c r="AA518" i="8"/>
  <c r="T175" i="8"/>
  <c r="AA175" i="8" s="1"/>
  <c r="AA210" i="8"/>
  <c r="T29" i="8"/>
  <c r="T499" i="8"/>
  <c r="AA499" i="8" s="1"/>
  <c r="T218" i="8"/>
  <c r="AA218" i="8" s="1"/>
  <c r="AA517" i="8"/>
  <c r="T496" i="8"/>
  <c r="AA496" i="8" s="1"/>
  <c r="T497" i="8"/>
  <c r="AA497" i="8" s="1"/>
  <c r="AA39" i="8"/>
  <c r="AA18" i="8"/>
  <c r="AA21" i="8"/>
  <c r="AA16" i="8"/>
  <c r="AA29" i="8" l="1"/>
  <c r="T152" i="8"/>
  <c r="AA152" i="8" s="1"/>
  <c r="T15" i="8" l="1"/>
  <c r="AA15" i="8" s="1"/>
</calcChain>
</file>

<file path=xl/sharedStrings.xml><?xml version="1.0" encoding="utf-8"?>
<sst xmlns="http://schemas.openxmlformats.org/spreadsheetml/2006/main" count="5898" uniqueCount="365">
  <si>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</si>
  <si>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</si>
  <si>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</si>
  <si>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</si>
  <si>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</si>
  <si>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</si>
  <si>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</si>
  <si>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</si>
  <si>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</si>
  <si>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</si>
  <si>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</si>
  <si>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</si>
  <si>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</si>
  <si>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</si>
  <si>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</si>
  <si>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</si>
  <si>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</si>
  <si>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</si>
  <si>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</si>
  <si>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</si>
  <si>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</si>
  <si>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</si>
  <si>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</si>
  <si>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</si>
  <si>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</si>
  <si>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</si>
  <si>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</si>
  <si>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</si>
  <si>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</si>
  <si>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</si>
  <si>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</si>
  <si>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</si>
  <si>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</si>
  <si>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</si>
  <si>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</si>
  <si>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</si>
  <si>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</si>
  <si>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</si>
  <si>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</si>
  <si>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</si>
  <si>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</si>
  <si>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</si>
  <si>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</si>
  <si>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</si>
  <si>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</si>
  <si>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</si>
  <si>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</si>
  <si>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</si>
  <si>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</si>
  <si>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да - 1
нет - 0</t>
  </si>
  <si>
    <t>штук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</si>
  <si>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</si>
  <si>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</si>
  <si>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</si>
  <si>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</si>
  <si>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</si>
  <si>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</si>
  <si>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</si>
  <si>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</si>
  <si>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</si>
  <si>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</si>
  <si>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</si>
  <si>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</si>
  <si>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</si>
  <si>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</si>
  <si>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</si>
  <si>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</si>
  <si>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</si>
  <si>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</si>
  <si>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</si>
  <si>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</si>
  <si>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</si>
  <si>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</si>
  <si>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</si>
  <si>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</si>
  <si>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</si>
  <si>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</si>
  <si>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</si>
  <si>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</si>
  <si>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</si>
  <si>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</si>
  <si>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</si>
  <si>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</si>
  <si>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</si>
  <si>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</si>
  <si>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</si>
  <si>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</si>
  <si>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</si>
  <si>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</si>
  <si>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</si>
  <si>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</si>
  <si>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</si>
  <si>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</si>
  <si>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</si>
  <si>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</si>
  <si>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</si>
  <si>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</si>
  <si>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</si>
  <si>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</si>
  <si>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</si>
  <si>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</si>
  <si>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</si>
  <si>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</si>
  <si>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</si>
  <si>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</si>
  <si>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</si>
  <si>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</si>
  <si>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</si>
  <si>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</si>
  <si>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</si>
  <si>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</si>
  <si>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</si>
  <si>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</si>
  <si>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</si>
  <si>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</si>
  <si>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</si>
  <si>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</si>
  <si>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</si>
  <si>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</si>
  <si>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</si>
  <si>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</si>
  <si>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</si>
  <si>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</si>
  <si>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</si>
  <si>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</si>
  <si>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</si>
  <si>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</si>
  <si>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</si>
  <si>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</si>
  <si>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</si>
  <si>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</si>
  <si>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</si>
  <si>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</si>
  <si>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</si>
  <si>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</si>
  <si>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</si>
  <si>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</si>
  <si>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</si>
  <si>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</si>
  <si>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</si>
  <si>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</si>
  <si>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</si>
  <si>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</si>
  <si>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</si>
  <si>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</si>
  <si>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</si>
  <si>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</si>
  <si>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</si>
  <si>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</si>
  <si>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</si>
  <si>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</si>
  <si>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</si>
  <si>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</si>
  <si>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</si>
  <si>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</si>
  <si>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</si>
  <si>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</si>
  <si>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</si>
  <si>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</si>
  <si>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</si>
  <si>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</si>
  <si>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</si>
  <si>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</si>
  <si>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</si>
  <si>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</si>
  <si>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</si>
  <si>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</si>
  <si>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</si>
  <si>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</si>
  <si>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</si>
  <si>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</si>
  <si>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</si>
  <si>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</si>
  <si>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</si>
  <si>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</si>
  <si>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</si>
  <si>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</si>
  <si>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</si>
  <si>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</si>
  <si>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</si>
  <si>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</si>
  <si>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</si>
  <si>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</si>
  <si>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</si>
  <si>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</si>
  <si>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</si>
  <si>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</si>
  <si>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</si>
  <si>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</si>
  <si>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</si>
  <si>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</si>
  <si>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</si>
  <si>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</si>
  <si>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</si>
  <si>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</si>
  <si>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</si>
  <si>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</si>
  <si>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</si>
  <si>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</si>
  <si>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</si>
  <si>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</si>
  <si>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</si>
  <si>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</si>
  <si>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</si>
  <si>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</si>
  <si>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</si>
  <si>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</si>
  <si>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</si>
  <si>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</si>
  <si>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</si>
  <si>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</si>
  <si>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</si>
  <si>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</si>
  <si>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</si>
  <si>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</si>
  <si>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</si>
  <si>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</si>
  <si>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</si>
  <si>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</si>
  <si>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</si>
  <si>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</si>
  <si>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</si>
  <si>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</si>
  <si>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</si>
  <si>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</si>
  <si>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</si>
  <si>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</si>
  <si>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</si>
  <si>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</si>
  <si>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</si>
  <si>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</si>
  <si>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</si>
  <si>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</si>
  <si>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</si>
  <si>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</si>
  <si>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</si>
  <si>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</si>
  <si>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</si>
  <si>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</si>
  <si>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2.07.4.1</t>
    </r>
    <r>
      <rPr>
        <sz val="12"/>
        <rFont val="Times New Roman"/>
        <family val="1"/>
        <charset val="204"/>
      </rPr>
      <t xml:space="preserve">
«Благоустройство территории жилого комплекса «Затьмацкий посад» по адресу: г. Тверь, пер. Трудолюбия, дом №4 корп.2 и корп.3»</t>
    </r>
  </si>
  <si>
    <r>
      <rPr>
        <b/>
        <sz val="12"/>
        <rFont val="Times New Roman"/>
        <family val="1"/>
        <charset val="204"/>
      </rPr>
      <t xml:space="preserve">Показатель 36 </t>
    </r>
    <r>
      <rPr>
        <sz val="12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</si>
  <si>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2.07.4.2</t>
    </r>
    <r>
      <rPr>
        <sz val="12"/>
        <rFont val="Times New Roman"/>
        <family val="1"/>
        <charset val="204"/>
      </rPr>
      <t xml:space="preserve">
«Устройство ограждения территории жилых домов № 45, 45 корп.1 по пер. Трудолюбия в г. Твери»</t>
    </r>
  </si>
  <si>
    <r>
      <rPr>
        <b/>
        <sz val="12"/>
        <rFont val="Times New Roman"/>
        <family val="1"/>
        <charset val="204"/>
      </rPr>
      <t>Показатель 37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</si>
  <si>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2.07.4.3</t>
    </r>
    <r>
      <rPr>
        <sz val="12"/>
        <rFont val="Times New Roman"/>
        <family val="1"/>
        <charset val="204"/>
      </rPr>
      <t xml:space="preserve">
«Монтаж системы видеонаблюдения периметра территории ТСЖ «Коробкова, д.1» расположенном по адресу: г.Тверь, ул. Коробкова, д.1»</t>
    </r>
  </si>
  <si>
    <r>
      <rPr>
        <b/>
        <sz val="12"/>
        <rFont val="Times New Roman"/>
        <family val="1"/>
        <charset val="204"/>
      </rPr>
      <t>Показатель 38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</si>
  <si>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2.07.4.4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ул.Коробкова, д.1»</t>
    </r>
  </si>
  <si>
    <r>
      <rPr>
        <b/>
        <sz val="12"/>
        <rFont val="Times New Roman"/>
        <family val="1"/>
        <charset val="204"/>
      </rPr>
      <t xml:space="preserve">Показатель 39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</si>
  <si>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2.07.4.5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ул.Коробкова, д.2»</t>
    </r>
  </si>
  <si>
    <r>
      <rPr>
        <b/>
        <sz val="12"/>
        <rFont val="Times New Roman"/>
        <family val="1"/>
        <charset val="204"/>
      </rPr>
      <t xml:space="preserve">Показатель 40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</si>
  <si>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2.07.4.6</t>
    </r>
    <r>
      <rPr>
        <sz val="12"/>
        <rFont val="Times New Roman"/>
        <family val="1"/>
        <charset val="204"/>
      </rPr>
      <t xml:space="preserve">
«Обустройство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Тверь»</t>
    </r>
  </si>
  <si>
    <r>
      <rPr>
        <b/>
        <sz val="12"/>
        <rFont val="Times New Roman"/>
        <family val="1"/>
        <charset val="204"/>
      </rPr>
      <t xml:space="preserve">Показатель 41 </t>
    </r>
    <r>
      <rPr>
        <sz val="12"/>
        <rFont val="Times New Roman"/>
        <family val="1"/>
        <charset val="204"/>
      </rPr>
      <t xml:space="preserve">
«Площадь асфальтирования площадки для временного размещения легкового автотранспорта» </t>
    </r>
  </si>
  <si>
    <r>
      <rPr>
        <b/>
        <sz val="12"/>
        <rFont val="Times New Roman"/>
        <family val="1"/>
        <charset val="204"/>
      </rPr>
      <t>Мероприятие 2.07.4.7</t>
    </r>
    <r>
      <rPr>
        <sz val="12"/>
        <rFont val="Times New Roman"/>
        <family val="1"/>
        <charset val="204"/>
      </rPr>
      <t xml:space="preserve">
«Благоустройство территории по адресу: г. Тверь, Смоленский пер., д.7»</t>
    </r>
  </si>
  <si>
    <r>
      <rPr>
        <b/>
        <sz val="12"/>
        <rFont val="Times New Roman"/>
        <family val="1"/>
        <charset val="204"/>
      </rPr>
      <t xml:space="preserve">Показатель 42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</si>
  <si>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2.07.4.8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 Симеоновская, д. 30»</t>
    </r>
  </si>
  <si>
    <r>
      <rPr>
        <b/>
        <sz val="12"/>
        <rFont val="Times New Roman"/>
        <family val="1"/>
        <charset val="204"/>
      </rPr>
      <t xml:space="preserve">Показатель 43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</si>
  <si>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2.07.4.9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город Тверь, Свободный переулок, дом 30»</t>
    </r>
  </si>
  <si>
    <r>
      <rPr>
        <b/>
        <sz val="11"/>
        <rFont val="Times New Roman"/>
        <family val="1"/>
        <charset val="204"/>
      </rPr>
      <t>Показатель 44</t>
    </r>
    <r>
      <rPr>
        <sz val="11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</si>
  <si>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2.07.4.10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Свободный переулок, д.43/18 в Центральном районе города Твери»</t>
    </r>
  </si>
  <si>
    <r>
      <rPr>
        <b/>
        <sz val="12"/>
        <rFont val="Times New Roman"/>
        <family val="1"/>
        <charset val="204"/>
      </rPr>
      <t>Показатель 45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</si>
  <si>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>Мероприятие 2.07.4.11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Тверской проспект дом 9 в г. Твери»</t>
    </r>
  </si>
  <si>
    <r>
      <rPr>
        <b/>
        <sz val="12"/>
        <rFont val="Times New Roman"/>
        <family val="1"/>
        <charset val="204"/>
      </rPr>
      <t>Показатель 46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</si>
  <si>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</si>
  <si>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</si>
  <si>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</si>
  <si>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</si>
  <si>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</si>
  <si>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</si>
  <si>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</si>
  <si>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</si>
  <si>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</si>
  <si>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</si>
  <si>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</si>
  <si>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</si>
  <si>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</si>
  <si>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</si>
  <si>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</si>
  <si>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</si>
  <si>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</si>
  <si>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</si>
  <si>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</si>
  <si>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</si>
  <si>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</si>
  <si>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</si>
  <si>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</si>
  <si>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</si>
  <si>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</si>
  <si>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</si>
  <si>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t>дней</t>
  </si>
  <si>
    <t>«Формирование современной городской среды» на 2018-2024 годы</t>
  </si>
  <si>
    <t>на 2018 - 2024 годы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</si>
  <si>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</si>
  <si>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</si>
  <si>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</si>
  <si>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8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</si>
  <si>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</si>
  <si>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</si>
  <si>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</si>
  <si>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</si>
  <si>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16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</si>
  <si>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</si>
  <si>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</si>
  <si>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</si>
  <si>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</si>
  <si>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отловленных животных на территории города» </t>
    </r>
  </si>
  <si>
    <r>
      <t xml:space="preserve">Мероприятие 3.05
</t>
    </r>
    <r>
      <rPr>
        <sz val="12"/>
        <rFont val="Times New Roman"/>
        <family val="1"/>
        <charset val="204"/>
      </rPr>
      <t>«Приобретение техники и инвентаря для нужд МБУ «Зеленстрой»</t>
    </r>
  </si>
  <si>
    <r>
      <t xml:space="preserve">Мероприятие 3.06
</t>
    </r>
    <r>
      <rPr>
        <sz val="12"/>
        <rFont val="Times New Roman"/>
        <family val="1"/>
        <charset val="204"/>
      </rPr>
      <t>«Финансовое обеспечение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</si>
  <si>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приобретенного оборудования и техники»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</si>
  <si>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животных»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</si>
  <si>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</si>
  <si>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</si>
  <si>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6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</si>
  <si>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</si>
  <si>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</si>
  <si>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</si>
  <si>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</si>
  <si>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11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</si>
  <si>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</si>
  <si>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</si>
  <si>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t xml:space="preserve">Мероприятие 3.05
</t>
    </r>
    <r>
      <rPr>
        <sz val="12"/>
        <rFont val="Times New Roman"/>
        <family val="1"/>
        <charset val="204"/>
      </rPr>
      <t>«Возмещение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</si>
  <si>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t xml:space="preserve">Мероприятие 3.06
</t>
    </r>
    <r>
      <rPr>
        <sz val="12"/>
        <rFont val="Times New Roman"/>
        <family val="1"/>
        <charset val="204"/>
      </rPr>
      <t>«Обустройство муниципального приюта для животных без владельцев»</t>
    </r>
  </si>
  <si>
    <t>«Приложение 1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</si>
  <si>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обустроенных муниципальных приютов для животных без владельцев» 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</si>
  <si>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рабочих смен по организации работ по отлову животных без владельцев»</t>
    </r>
  </si>
  <si>
    <t xml:space="preserve"> 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</si>
  <si>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</si>
  <si>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</si>
  <si>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</si>
  <si>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</si>
  <si>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</si>
  <si>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</si>
  <si>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</si>
  <si>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</si>
  <si>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установленных детских игровых комплексов»</t>
    </r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</si>
  <si>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«Приобретение и установка детских игровых комплексов»</t>
    </r>
  </si>
  <si>
    <t>Начальник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В.А. Клишин</t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</si>
  <si>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</si>
  <si>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>Мероприятие 1.15</t>
    </r>
    <r>
      <rPr>
        <sz val="12"/>
        <rFont val="Times New Roman"/>
        <family val="1"/>
        <charset val="204"/>
      </rPr>
      <t xml:space="preserve">
«Покос зеленых зон на землях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</si>
  <si>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</si>
  <si>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</si>
  <si>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</si>
  <si>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</si>
  <si>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>Мероприятие 2.09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</si>
  <si>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rPr>
        <b/>
        <sz val="12"/>
        <rFont val="Times New Roman"/>
        <family val="1"/>
        <charset val="204"/>
      </rPr>
      <t xml:space="preserve">Мероприятие 3.03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</si>
  <si>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t xml:space="preserve">Мероприятие 4.02
</t>
    </r>
    <r>
      <rPr>
        <sz val="12"/>
        <rFont val="Times New Roman"/>
        <family val="1"/>
        <charset val="204"/>
      </rPr>
      <t>«Благоустройство муниципальных кладбищ»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</si>
  <si>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</si>
  <si>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</si>
  <si>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</si>
  <si>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</si>
  <si>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</si>
  <si>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t>Приложение 1  
к постановлению Администрации города Твери
от «___»              2020 № ____</t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</si>
  <si>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комплектов проектно-сметной документации по ремонту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</si>
  <si>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 комплектов проектно-сметной документации по ремонту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</si>
  <si>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«Общая площадь покоса зеленых зон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</si>
  <si>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</si>
  <si>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</si>
  <si>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</si>
  <si>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</si>
  <si>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</si>
  <si>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</si>
  <si>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 9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</si>
  <si>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</si>
  <si>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t>И</t>
  </si>
  <si>
    <t>П</t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</si>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</sst>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49" fontId="2" fillId="4" borderId="0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3" borderId="0" xfId="0" applyNumberFormat="1" applyFont="1" applyFill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74"/>
  <sheetViews>
    <sheetView tabSelected="1" view="pageBreakPreview" topLeftCell="A32" zoomScale="80" zoomScaleNormal="90" zoomScaleSheetLayoutView="80" zoomScalePageLayoutView="62" workbookViewId="0">
      <selection activeCell="T491" sqref="T491"/>
    </sheetView>
  </sheetViews>
  <sheetFormatPr defaultColWidth="8.5546875" defaultRowHeight="15.6" x14ac:dyDescent="0.3"/>
  <cols>
    <col min="1" max="17" width="2.6640625" style="8" customWidth="1"/>
    <col min="18" max="18" width="66.88671875" style="7" customWidth="1"/>
    <col min="19" max="19" width="10.109375" style="7" customWidth="1"/>
    <col min="20" max="21" width="10.5546875" style="7" customWidth="1"/>
    <col min="22" max="22" width="10.5546875" style="8" customWidth="1"/>
    <col min="23" max="26" width="10.5546875" style="7" customWidth="1"/>
    <col min="27" max="27" width="12" style="8" customWidth="1"/>
    <col min="28" max="28" width="6.6640625" style="7" customWidth="1"/>
    <col min="29" max="29" width="12.88671875" style="103" customWidth="1"/>
    <col min="30" max="30" width="13.44140625" style="7" customWidth="1"/>
    <col min="31" max="31" width="11.6640625" style="7" bestFit="1" customWidth="1"/>
    <col min="32" max="32" width="10.6640625" style="7" customWidth="1"/>
    <col min="33" max="34" width="10.44140625" style="7" bestFit="1" customWidth="1"/>
    <col min="35" max="35" width="12.33203125" style="7" bestFit="1" customWidth="1"/>
    <col min="36" max="36" width="11.44140625" style="7" bestFit="1" customWidth="1"/>
    <col min="37" max="16384" width="8.5546875" style="7"/>
  </cols>
  <sheetData>
    <row r="1" spans="1:35" ht="49.2" customHeight="1" x14ac:dyDescent="0.3">
      <c r="A1" s="150" t="s">
        <v>349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02"/>
      <c r="AD1" s="102"/>
      <c r="AE1" s="102"/>
    </row>
    <row r="2" spans="1:35" x14ac:dyDescent="0.3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02"/>
      <c r="AD2" s="102"/>
      <c r="AE2" s="102"/>
    </row>
    <row r="3" spans="1:35" ht="13.8" customHeight="1" x14ac:dyDescent="0.3">
      <c r="A3" s="150" t="s">
        <v>320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02"/>
      <c r="AD3" s="102"/>
      <c r="AE3" s="102"/>
    </row>
    <row r="4" spans="1:35" x14ac:dyDescent="0.3">
      <c r="A4" s="150" t="s">
        <v>26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9"/>
    </row>
    <row r="5" spans="1:35" x14ac:dyDescent="0.3">
      <c r="A5" s="150" t="s">
        <v>48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9"/>
    </row>
    <row r="6" spans="1:35" x14ac:dyDescent="0.3">
      <c r="A6" s="150" t="s">
        <v>289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</row>
    <row r="7" spans="1:35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44"/>
      <c r="S7" s="144"/>
      <c r="T7" s="144"/>
      <c r="U7" s="144"/>
      <c r="V7" s="11"/>
      <c r="W7" s="144"/>
      <c r="X7" s="151"/>
      <c r="Y7" s="151"/>
      <c r="Z7" s="151"/>
      <c r="AA7" s="151"/>
      <c r="AB7" s="151"/>
    </row>
    <row r="8" spans="1:35" ht="17.399999999999999" x14ac:dyDescent="0.3">
      <c r="A8" s="152" t="s">
        <v>12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9"/>
      <c r="AD8" s="12"/>
    </row>
    <row r="9" spans="1:35" ht="17.399999999999999" x14ac:dyDescent="0.3">
      <c r="A9" s="152" t="s">
        <v>288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</row>
    <row r="10" spans="1:35" x14ac:dyDescent="0.3">
      <c r="A10" s="153" t="s">
        <v>57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</row>
    <row r="11" spans="1:35" ht="9" customHeight="1" x14ac:dyDescent="0.3">
      <c r="V11" s="13"/>
    </row>
    <row r="12" spans="1:35" s="97" customFormat="1" ht="40.200000000000003" customHeight="1" x14ac:dyDescent="0.3">
      <c r="A12" s="154" t="s">
        <v>16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5" t="s">
        <v>13</v>
      </c>
      <c r="S12" s="155" t="s">
        <v>33</v>
      </c>
      <c r="T12" s="155" t="s">
        <v>14</v>
      </c>
      <c r="U12" s="155"/>
      <c r="V12" s="155"/>
      <c r="W12" s="155"/>
      <c r="X12" s="155"/>
      <c r="Y12" s="155"/>
      <c r="Z12" s="155"/>
      <c r="AA12" s="156" t="s">
        <v>10</v>
      </c>
      <c r="AB12" s="156"/>
      <c r="AC12" s="9"/>
      <c r="AD12" s="9"/>
      <c r="AE12" s="9"/>
      <c r="AF12" s="9"/>
      <c r="AG12" s="9"/>
      <c r="AH12" s="9"/>
    </row>
    <row r="13" spans="1:35" s="97" customFormat="1" ht="51.6" customHeight="1" x14ac:dyDescent="0.3">
      <c r="A13" s="154" t="s">
        <v>29</v>
      </c>
      <c r="B13" s="154"/>
      <c r="C13" s="154"/>
      <c r="D13" s="154" t="s">
        <v>27</v>
      </c>
      <c r="E13" s="154"/>
      <c r="F13" s="154" t="s">
        <v>28</v>
      </c>
      <c r="G13" s="154"/>
      <c r="H13" s="154" t="s">
        <v>17</v>
      </c>
      <c r="I13" s="154"/>
      <c r="J13" s="154"/>
      <c r="K13" s="154"/>
      <c r="L13" s="154"/>
      <c r="M13" s="154"/>
      <c r="N13" s="154"/>
      <c r="O13" s="154"/>
      <c r="P13" s="154"/>
      <c r="Q13" s="154"/>
      <c r="R13" s="155"/>
      <c r="S13" s="155"/>
      <c r="T13" s="142">
        <v>2018</v>
      </c>
      <c r="U13" s="142">
        <v>2019</v>
      </c>
      <c r="V13" s="142">
        <v>2020</v>
      </c>
      <c r="W13" s="142">
        <v>2021</v>
      </c>
      <c r="X13" s="142">
        <v>2022</v>
      </c>
      <c r="Y13" s="142">
        <v>2023</v>
      </c>
      <c r="Z13" s="142">
        <v>2024</v>
      </c>
      <c r="AA13" s="142" t="s">
        <v>11</v>
      </c>
      <c r="AB13" s="142" t="s">
        <v>30</v>
      </c>
      <c r="AC13" s="14"/>
      <c r="AD13" s="15"/>
      <c r="AE13" s="15"/>
      <c r="AF13" s="16"/>
      <c r="AG13" s="16"/>
      <c r="AH13" s="16"/>
    </row>
    <row r="14" spans="1:35" s="97" customFormat="1" ht="15.75" customHeight="1" x14ac:dyDescent="0.3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25</v>
      </c>
      <c r="Z14" s="17">
        <v>26</v>
      </c>
      <c r="AA14" s="17">
        <v>27</v>
      </c>
      <c r="AB14" s="17">
        <v>28</v>
      </c>
      <c r="AC14" s="18"/>
      <c r="AD14" s="19"/>
      <c r="AE14" s="20"/>
      <c r="AF14" s="16"/>
      <c r="AG14" s="16"/>
      <c r="AH14" s="16"/>
    </row>
    <row r="15" spans="1:35" s="8" customFormat="1" ht="33.6" customHeight="1" x14ac:dyDescent="0.3">
      <c r="A15" s="21"/>
      <c r="B15" s="21"/>
      <c r="C15" s="21"/>
      <c r="D15" s="21"/>
      <c r="E15" s="21"/>
      <c r="F15" s="21"/>
      <c r="G15" s="21"/>
      <c r="H15" s="21" t="s">
        <v>19</v>
      </c>
      <c r="I15" s="21" t="s">
        <v>24</v>
      </c>
      <c r="J15" s="21" t="s">
        <v>18</v>
      </c>
      <c r="K15" s="21" t="s">
        <v>18</v>
      </c>
      <c r="L15" s="21" t="s">
        <v>18</v>
      </c>
      <c r="M15" s="21" t="s">
        <v>18</v>
      </c>
      <c r="N15" s="21" t="s">
        <v>18</v>
      </c>
      <c r="O15" s="21" t="s">
        <v>18</v>
      </c>
      <c r="P15" s="21" t="s">
        <v>18</v>
      </c>
      <c r="Q15" s="21" t="s">
        <v>18</v>
      </c>
      <c r="R15" s="22" t="s">
        <v>15</v>
      </c>
      <c r="S15" s="23" t="s">
        <v>0</v>
      </c>
      <c r="T15" s="24">
        <f t="shared" ref="T15:Z15" si="0">T29+T152+T496+T557</f>
        <v>505632.41500000004</v>
      </c>
      <c r="U15" s="24">
        <f t="shared" si="0"/>
        <v>641164.1</v>
      </c>
      <c r="V15" s="24">
        <f t="shared" si="0"/>
        <v>454063.09999999992</v>
      </c>
      <c r="W15" s="24">
        <f t="shared" si="0"/>
        <v>402439</v>
      </c>
      <c r="X15" s="24">
        <f t="shared" si="0"/>
        <v>292114.5</v>
      </c>
      <c r="Y15" s="24">
        <f t="shared" si="0"/>
        <v>292114.5</v>
      </c>
      <c r="Z15" s="24">
        <f t="shared" si="0"/>
        <v>304287.90000000002</v>
      </c>
      <c r="AA15" s="24">
        <f>SUM(T15:Z15)</f>
        <v>2891815.5150000001</v>
      </c>
      <c r="AB15" s="23">
        <v>2024</v>
      </c>
      <c r="AC15" s="14"/>
      <c r="AD15" s="14"/>
      <c r="AE15" s="14"/>
      <c r="AF15" s="14"/>
      <c r="AG15" s="14"/>
      <c r="AH15" s="14"/>
      <c r="AI15" s="25"/>
    </row>
    <row r="16" spans="1:35" s="32" customFormat="1" ht="16.2" hidden="1" customHeight="1" x14ac:dyDescent="0.3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2" si="1">S16*105.1%</f>
        <v>#VALUE!</v>
      </c>
      <c r="U16" s="29" t="e">
        <f t="shared" ref="U16:V22" si="2">T16*104.9%</f>
        <v>#VALUE!</v>
      </c>
      <c r="V16" s="29" t="e">
        <f t="shared" si="2"/>
        <v>#VALUE!</v>
      </c>
      <c r="W16" s="29" t="e">
        <f t="shared" ref="W16:W22" si="3">V16*105.1%</f>
        <v>#VALUE!</v>
      </c>
      <c r="X16" s="29" t="e">
        <f t="shared" ref="X16:Y22" si="4">W16*104.9%</f>
        <v>#VALUE!</v>
      </c>
      <c r="Y16" s="29" t="e">
        <f t="shared" si="4"/>
        <v>#VALUE!</v>
      </c>
      <c r="Z16" s="29"/>
      <c r="AA16" s="29" t="e">
        <f t="shared" ref="AA16:AA22" si="5">T16+U16+V16+W16+X16+Y16</f>
        <v>#VALUE!</v>
      </c>
      <c r="AB16" s="30">
        <v>2019</v>
      </c>
      <c r="AC16" s="31"/>
    </row>
    <row r="17" spans="1:36" s="32" customFormat="1" ht="16.2" hidden="1" customHeight="1" x14ac:dyDescent="0.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 t="e">
        <f t="shared" si="4"/>
        <v>#VALUE!</v>
      </c>
      <c r="Z17" s="29"/>
      <c r="AA17" s="29" t="e">
        <f t="shared" si="5"/>
        <v>#VALUE!</v>
      </c>
      <c r="AB17" s="30">
        <v>2019</v>
      </c>
      <c r="AC17" s="31"/>
    </row>
    <row r="18" spans="1:36" s="32" customFormat="1" ht="16.2" hidden="1" customHeight="1" x14ac:dyDescent="0.3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 t="e">
        <f t="shared" si="4"/>
        <v>#VALUE!</v>
      </c>
      <c r="Z18" s="29"/>
      <c r="AA18" s="29" t="e">
        <f t="shared" si="5"/>
        <v>#VALUE!</v>
      </c>
      <c r="AB18" s="30">
        <v>2019</v>
      </c>
      <c r="AC18" s="31"/>
    </row>
    <row r="19" spans="1:36" s="32" customFormat="1" ht="16.2" hidden="1" customHeight="1" x14ac:dyDescent="0.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/>
      <c r="AA19" s="29" t="e">
        <f t="shared" si="5"/>
        <v>#VALUE!</v>
      </c>
      <c r="AB19" s="30">
        <v>2019</v>
      </c>
      <c r="AC19" s="31"/>
    </row>
    <row r="20" spans="1:36" s="32" customFormat="1" ht="16.2" hidden="1" customHeight="1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/>
      <c r="AA20" s="29" t="e">
        <f t="shared" si="5"/>
        <v>#VALUE!</v>
      </c>
      <c r="AB20" s="30">
        <v>2019</v>
      </c>
      <c r="AC20" s="31"/>
    </row>
    <row r="21" spans="1:36" s="32" customFormat="1" ht="16.2" hidden="1" customHeight="1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/>
      <c r="AA21" s="29" t="e">
        <f t="shared" si="5"/>
        <v>#VALUE!</v>
      </c>
      <c r="AB21" s="30">
        <v>2019</v>
      </c>
      <c r="AC21" s="31"/>
    </row>
    <row r="22" spans="1:36" s="32" customFormat="1" ht="16.2" hidden="1" customHeight="1" x14ac:dyDescent="0.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/>
      <c r="AA22" s="29" t="e">
        <f t="shared" si="5"/>
        <v>#VALUE!</v>
      </c>
      <c r="AB22" s="30">
        <v>2019</v>
      </c>
      <c r="AC22" s="31"/>
    </row>
    <row r="23" spans="1:36" s="8" customFormat="1" ht="31.2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 t="s">
        <v>59</v>
      </c>
      <c r="S23" s="17"/>
      <c r="T23" s="36"/>
      <c r="U23" s="36"/>
      <c r="V23" s="36"/>
      <c r="W23" s="36"/>
      <c r="X23" s="36"/>
      <c r="Y23" s="36"/>
      <c r="Z23" s="36"/>
      <c r="AA23" s="36"/>
      <c r="AB23" s="143"/>
      <c r="AC23" s="93"/>
      <c r="AD23" s="38"/>
      <c r="AE23" s="38"/>
    </row>
    <row r="24" spans="1:36" ht="46.8" x14ac:dyDescent="0.3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 t="s">
        <v>60</v>
      </c>
      <c r="S24" s="41" t="s">
        <v>9</v>
      </c>
      <c r="T24" s="3">
        <f xml:space="preserve"> (416.9+89.6)/2557*100</f>
        <v>19.8083691826359</v>
      </c>
      <c r="U24" s="3">
        <f xml:space="preserve"> (416.9+89.6+58.4)/2557*100</f>
        <v>22.09229565897536</v>
      </c>
      <c r="V24" s="3">
        <f xml:space="preserve"> (416.9+89.6+58.4+46.2)/2557*100</f>
        <v>23.899100508408292</v>
      </c>
      <c r="W24" s="3">
        <f xml:space="preserve"> (416.9+89.6+58.4+46.2+66.5)/2557*100</f>
        <v>26.499804458349629</v>
      </c>
      <c r="X24" s="3">
        <f xml:space="preserve"> (416.9+89.6+58.4+46.2+66.5+64.3)/2557*100</f>
        <v>29.014470082127492</v>
      </c>
      <c r="Y24" s="3">
        <f xml:space="preserve"> (416.9+89.6+58.4+46.2+66.5+64.3+64.3)/2557*100</f>
        <v>31.529135705905354</v>
      </c>
      <c r="Z24" s="3">
        <f xml:space="preserve"> (416.9+89.6+58.4+46.2+66.5+64.3+64.3+64.3)/2557*100</f>
        <v>34.043801329683212</v>
      </c>
      <c r="AA24" s="6">
        <f>Z24</f>
        <v>34.043801329683212</v>
      </c>
      <c r="AB24" s="142">
        <v>2024</v>
      </c>
      <c r="AC24" s="33"/>
    </row>
    <row r="25" spans="1:36" ht="46.8" x14ac:dyDescent="0.3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 t="s">
        <v>61</v>
      </c>
      <c r="S25" s="41" t="s">
        <v>9</v>
      </c>
      <c r="T25" s="3">
        <f>((842+61)+58)/2737*100</f>
        <v>35.111435878699304</v>
      </c>
      <c r="U25" s="3">
        <f>((842+61)+58+42)/2738*100</f>
        <v>36.632578524470418</v>
      </c>
      <c r="V25" s="3">
        <f>((842+61)+58+42+7)/2738*100</f>
        <v>36.888239590942298</v>
      </c>
      <c r="W25" s="3">
        <f>((842+61)+58+42+7+7)/2738*100</f>
        <v>37.143900657414171</v>
      </c>
      <c r="X25" s="3">
        <f>((842+61)+58+42+7+7+10)/2738*100</f>
        <v>37.509130752373999</v>
      </c>
      <c r="Y25" s="3">
        <f>((842+61)+58+42+7+7+10+10)/2738*100</f>
        <v>37.874360847333818</v>
      </c>
      <c r="Z25" s="3">
        <f>((842+61)+58+42+7+7+10+10+37)/2738*100</f>
        <v>39.225712198685173</v>
      </c>
      <c r="AA25" s="6">
        <f>Z25</f>
        <v>39.225712198685173</v>
      </c>
      <c r="AB25" s="142">
        <v>2024</v>
      </c>
      <c r="AC25" s="42"/>
      <c r="AD25" s="43"/>
      <c r="AE25" s="43"/>
      <c r="AF25" s="12"/>
    </row>
    <row r="26" spans="1:36" ht="46.8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 t="s">
        <v>62</v>
      </c>
      <c r="S26" s="41" t="s">
        <v>34</v>
      </c>
      <c r="T26" s="129">
        <f>T30/420.1</f>
        <v>0.21328255177338726</v>
      </c>
      <c r="U26" s="129">
        <f>U30/420.1</f>
        <v>0.13901452035229706</v>
      </c>
      <c r="V26" s="129">
        <f>V30/420.1</f>
        <v>0.10997381575815282</v>
      </c>
      <c r="W26" s="129">
        <f t="shared" ref="W26:Z26" si="6">W30/420.1</f>
        <v>0.15829564389431086</v>
      </c>
      <c r="X26" s="129">
        <f t="shared" si="6"/>
        <v>0.153058795524875</v>
      </c>
      <c r="Y26" s="129">
        <f t="shared" si="6"/>
        <v>0.153058795524875</v>
      </c>
      <c r="Z26" s="129">
        <f t="shared" si="6"/>
        <v>0.153058795524875</v>
      </c>
      <c r="AA26" s="6">
        <f>SUM(T26:Z26)</f>
        <v>1.0797429183527729</v>
      </c>
      <c r="AB26" s="142">
        <v>2024</v>
      </c>
      <c r="AC26" s="33"/>
    </row>
    <row r="27" spans="1:36" ht="31.2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 t="s">
        <v>63</v>
      </c>
      <c r="S27" s="142" t="s">
        <v>52</v>
      </c>
      <c r="T27" s="3">
        <f>T125</f>
        <v>2557</v>
      </c>
      <c r="U27" s="3">
        <f t="shared" ref="U27:Z27" si="7">U125</f>
        <v>2220.9</v>
      </c>
      <c r="V27" s="3">
        <f t="shared" si="7"/>
        <v>2165.9</v>
      </c>
      <c r="W27" s="3">
        <f>W125</f>
        <v>2221</v>
      </c>
      <c r="X27" s="3">
        <f t="shared" si="7"/>
        <v>2221</v>
      </c>
      <c r="Y27" s="3">
        <f t="shared" si="7"/>
        <v>2221</v>
      </c>
      <c r="Z27" s="3">
        <f t="shared" si="7"/>
        <v>2221</v>
      </c>
      <c r="AA27" s="5">
        <f>SUM(Y27)</f>
        <v>2221</v>
      </c>
      <c r="AB27" s="142">
        <v>2024</v>
      </c>
      <c r="AC27" s="33"/>
      <c r="AD27" s="25"/>
      <c r="AE27" s="12"/>
      <c r="AF27" s="12"/>
      <c r="AG27" s="12"/>
      <c r="AH27" s="12"/>
      <c r="AI27" s="12"/>
      <c r="AJ27" s="12"/>
    </row>
    <row r="28" spans="1:36" ht="46.8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64</v>
      </c>
      <c r="S28" s="142" t="s">
        <v>50</v>
      </c>
      <c r="T28" s="44">
        <f>T122</f>
        <v>2400</v>
      </c>
      <c r="U28" s="44">
        <f t="shared" ref="U28:Y28" si="8">U122</f>
        <v>2400</v>
      </c>
      <c r="V28" s="44">
        <f t="shared" si="8"/>
        <v>4059</v>
      </c>
      <c r="W28" s="44">
        <f t="shared" si="8"/>
        <v>3100</v>
      </c>
      <c r="X28" s="44">
        <f t="shared" si="8"/>
        <v>3100</v>
      </c>
      <c r="Y28" s="44">
        <f t="shared" si="8"/>
        <v>3100</v>
      </c>
      <c r="Z28" s="44">
        <f t="shared" ref="Z28" si="9">Z122</f>
        <v>3100</v>
      </c>
      <c r="AA28" s="45">
        <f>SUM(T28:Z28)</f>
        <v>21259</v>
      </c>
      <c r="AB28" s="142">
        <v>2024</v>
      </c>
      <c r="AC28" s="33"/>
    </row>
    <row r="29" spans="1:36" ht="31.2" x14ac:dyDescent="0.3">
      <c r="A29" s="46"/>
      <c r="B29" s="46"/>
      <c r="C29" s="46"/>
      <c r="D29" s="46"/>
      <c r="E29" s="46"/>
      <c r="F29" s="46"/>
      <c r="G29" s="46"/>
      <c r="H29" s="46" t="s">
        <v>19</v>
      </c>
      <c r="I29" s="46" t="s">
        <v>24</v>
      </c>
      <c r="J29" s="46" t="s">
        <v>18</v>
      </c>
      <c r="K29" s="46" t="s">
        <v>18</v>
      </c>
      <c r="L29" s="46" t="s">
        <v>19</v>
      </c>
      <c r="M29" s="46" t="s">
        <v>18</v>
      </c>
      <c r="N29" s="46" t="s">
        <v>18</v>
      </c>
      <c r="O29" s="46" t="s">
        <v>18</v>
      </c>
      <c r="P29" s="46" t="s">
        <v>18</v>
      </c>
      <c r="Q29" s="46" t="s">
        <v>18</v>
      </c>
      <c r="R29" s="47" t="s">
        <v>35</v>
      </c>
      <c r="S29" s="75" t="s">
        <v>261</v>
      </c>
      <c r="T29" s="148">
        <f>T39+T48+T54+T65+T81+T103+T106+T116+T119+T127+T130+T132+T140</f>
        <v>325992.60000000003</v>
      </c>
      <c r="U29" s="148">
        <f>U39+U48+U54+U65+U81+U103+U106+U116+U119+U127+U130+U132</f>
        <v>483865.9</v>
      </c>
      <c r="V29" s="148">
        <f>V39+V54+V65+V81+V103+V106+V116+V119+V127+V130+V132+V140</f>
        <v>417830.99999999994</v>
      </c>
      <c r="W29" s="148">
        <f>W39+W48+W54+W65+W81+W103+W106+W116+W119+W127+W130+W132+W140+W142</f>
        <v>355095.5</v>
      </c>
      <c r="X29" s="148">
        <f t="shared" ref="X29:Z29" si="10">X39+X48+X54+X65+X81+X103+X106+X116+X119+X127+X130+X132+X140+X142</f>
        <v>255860.1</v>
      </c>
      <c r="Y29" s="148">
        <f t="shared" si="10"/>
        <v>255860.1</v>
      </c>
      <c r="Z29" s="148">
        <f t="shared" si="10"/>
        <v>255860.1</v>
      </c>
      <c r="AA29" s="148">
        <f>SUM(T29:Z29)</f>
        <v>2350365.3000000003</v>
      </c>
      <c r="AB29" s="149">
        <v>2024</v>
      </c>
      <c r="AC29" s="111"/>
    </row>
    <row r="30" spans="1:36" ht="31.2" customHeight="1" x14ac:dyDescent="0.3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8" t="s">
        <v>65</v>
      </c>
      <c r="S30" s="142" t="s">
        <v>52</v>
      </c>
      <c r="T30" s="4">
        <f>T45+T139</f>
        <v>89.6</v>
      </c>
      <c r="U30" s="4">
        <f>U45+U139</f>
        <v>58.4</v>
      </c>
      <c r="V30" s="3">
        <f>V45+V139</f>
        <v>46.2</v>
      </c>
      <c r="W30" s="4">
        <f>W45+W139</f>
        <v>66.5</v>
      </c>
      <c r="X30" s="4">
        <f>X45+X139</f>
        <v>64.3</v>
      </c>
      <c r="Y30" s="4">
        <f t="shared" ref="Y30:Z30" si="11">Y45+Y139</f>
        <v>64.3</v>
      </c>
      <c r="Z30" s="4">
        <f t="shared" si="11"/>
        <v>64.3</v>
      </c>
      <c r="AA30" s="5">
        <f>SUM(T30:Z30)</f>
        <v>453.6</v>
      </c>
      <c r="AB30" s="142">
        <v>2024</v>
      </c>
      <c r="AC30" s="33"/>
    </row>
    <row r="31" spans="1:36" s="51" customFormat="1" ht="31.2" customHeight="1" x14ac:dyDescent="0.3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 t="s">
        <v>66</v>
      </c>
      <c r="S31" s="41" t="s">
        <v>38</v>
      </c>
      <c r="T31" s="2">
        <f>T44+T138</f>
        <v>5</v>
      </c>
      <c r="U31" s="2">
        <f>U44+U138</f>
        <v>6</v>
      </c>
      <c r="V31" s="44">
        <f>V44+V138</f>
        <v>4</v>
      </c>
      <c r="W31" s="2">
        <f>W44+W138</f>
        <v>2</v>
      </c>
      <c r="X31" s="2">
        <f>X44+X138</f>
        <v>3</v>
      </c>
      <c r="Y31" s="44">
        <f>Y138</f>
        <v>3</v>
      </c>
      <c r="Z31" s="44">
        <f>Z138</f>
        <v>3</v>
      </c>
      <c r="AA31" s="45">
        <f>SUM(T31:Z31)</f>
        <v>26</v>
      </c>
      <c r="AB31" s="142">
        <v>2024</v>
      </c>
      <c r="AC31" s="33"/>
      <c r="AD31" s="50"/>
    </row>
    <row r="32" spans="1:36" s="51" customFormat="1" ht="31.5" customHeight="1" x14ac:dyDescent="0.3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 t="s">
        <v>67</v>
      </c>
      <c r="S32" s="41" t="s">
        <v>9</v>
      </c>
      <c r="T32" s="52">
        <v>100</v>
      </c>
      <c r="U32" s="52">
        <v>100</v>
      </c>
      <c r="V32" s="52">
        <v>100</v>
      </c>
      <c r="W32" s="52">
        <v>100</v>
      </c>
      <c r="X32" s="52">
        <v>100</v>
      </c>
      <c r="Y32" s="52">
        <v>100</v>
      </c>
      <c r="Z32" s="52">
        <v>100</v>
      </c>
      <c r="AA32" s="53">
        <v>100</v>
      </c>
      <c r="AB32" s="142">
        <v>2024</v>
      </c>
      <c r="AC32" s="33"/>
      <c r="AD32" s="50"/>
    </row>
    <row r="33" spans="1:31" ht="46.8" x14ac:dyDescent="0.3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5" t="s">
        <v>68</v>
      </c>
      <c r="S33" s="142" t="s">
        <v>50</v>
      </c>
      <c r="T33" s="44">
        <f t="shared" ref="T33:Y33" si="12">T122</f>
        <v>2400</v>
      </c>
      <c r="U33" s="44">
        <f t="shared" si="12"/>
        <v>2400</v>
      </c>
      <c r="V33" s="44">
        <f t="shared" si="12"/>
        <v>4059</v>
      </c>
      <c r="W33" s="44">
        <f t="shared" si="12"/>
        <v>3100</v>
      </c>
      <c r="X33" s="44">
        <f t="shared" si="12"/>
        <v>3100</v>
      </c>
      <c r="Y33" s="44">
        <f t="shared" si="12"/>
        <v>3100</v>
      </c>
      <c r="Z33" s="44">
        <f t="shared" ref="Z33" si="13">Z122</f>
        <v>3100</v>
      </c>
      <c r="AA33" s="45">
        <f>SUM(T33:Z33)</f>
        <v>21259</v>
      </c>
      <c r="AB33" s="142">
        <v>2024</v>
      </c>
      <c r="AC33" s="33"/>
    </row>
    <row r="34" spans="1:31" ht="31.2" x14ac:dyDescent="0.3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5" t="s">
        <v>69</v>
      </c>
      <c r="S34" s="142" t="s">
        <v>38</v>
      </c>
      <c r="T34" s="44">
        <f t="shared" ref="T34:Y34" si="14">T55</f>
        <v>10</v>
      </c>
      <c r="U34" s="44">
        <f t="shared" si="14"/>
        <v>10</v>
      </c>
      <c r="V34" s="44">
        <f t="shared" si="14"/>
        <v>9</v>
      </c>
      <c r="W34" s="44">
        <f t="shared" si="14"/>
        <v>9</v>
      </c>
      <c r="X34" s="44">
        <f t="shared" si="14"/>
        <v>9</v>
      </c>
      <c r="Y34" s="44">
        <f t="shared" si="14"/>
        <v>9</v>
      </c>
      <c r="Z34" s="44">
        <f t="shared" ref="Z34" si="15">Z55</f>
        <v>9</v>
      </c>
      <c r="AA34" s="49">
        <v>10</v>
      </c>
      <c r="AB34" s="142">
        <v>2024</v>
      </c>
      <c r="AC34" s="33"/>
    </row>
    <row r="35" spans="1:31" ht="31.2" x14ac:dyDescent="0.3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8" t="s">
        <v>70</v>
      </c>
      <c r="S35" s="142" t="s">
        <v>38</v>
      </c>
      <c r="T35" s="44">
        <f t="shared" ref="T35:Y35" si="16">T66</f>
        <v>20</v>
      </c>
      <c r="U35" s="2">
        <f t="shared" si="16"/>
        <v>20</v>
      </c>
      <c r="V35" s="2">
        <f t="shared" si="16"/>
        <v>20</v>
      </c>
      <c r="W35" s="2">
        <f t="shared" si="16"/>
        <v>20</v>
      </c>
      <c r="X35" s="2">
        <f t="shared" si="16"/>
        <v>20</v>
      </c>
      <c r="Y35" s="2">
        <f t="shared" si="16"/>
        <v>20</v>
      </c>
      <c r="Z35" s="2">
        <f t="shared" ref="Z35" si="17">Z66</f>
        <v>20</v>
      </c>
      <c r="AA35" s="49">
        <v>20</v>
      </c>
      <c r="AB35" s="142">
        <v>2024</v>
      </c>
      <c r="AC35" s="33"/>
    </row>
    <row r="36" spans="1:31" s="51" customFormat="1" ht="62.4" x14ac:dyDescent="0.3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48" t="s">
        <v>335</v>
      </c>
      <c r="S36" s="41" t="s">
        <v>38</v>
      </c>
      <c r="T36" s="44">
        <f>T84</f>
        <v>25</v>
      </c>
      <c r="U36" s="44">
        <f>U84</f>
        <v>77</v>
      </c>
      <c r="V36" s="44">
        <f t="shared" ref="V36:Y36" si="18">V84</f>
        <v>74</v>
      </c>
      <c r="W36" s="44">
        <f t="shared" si="18"/>
        <v>74</v>
      </c>
      <c r="X36" s="44">
        <f t="shared" si="18"/>
        <v>74</v>
      </c>
      <c r="Y36" s="44">
        <f t="shared" si="18"/>
        <v>74</v>
      </c>
      <c r="Z36" s="44">
        <f t="shared" ref="Z36" si="19">Z84</f>
        <v>74</v>
      </c>
      <c r="AA36" s="49">
        <f>SUM(T36:Z36)</f>
        <v>472</v>
      </c>
      <c r="AB36" s="142">
        <v>2024</v>
      </c>
      <c r="AC36" s="111"/>
      <c r="AD36" s="50"/>
    </row>
    <row r="37" spans="1:31" s="51" customFormat="1" ht="62.4" x14ac:dyDescent="0.3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141" t="s">
        <v>71</v>
      </c>
      <c r="S37" s="55" t="s">
        <v>41</v>
      </c>
      <c r="T37" s="56">
        <v>1</v>
      </c>
      <c r="U37" s="56">
        <v>1</v>
      </c>
      <c r="V37" s="56">
        <v>1</v>
      </c>
      <c r="W37" s="56">
        <v>1</v>
      </c>
      <c r="X37" s="56">
        <v>1</v>
      </c>
      <c r="Y37" s="56">
        <v>1</v>
      </c>
      <c r="Z37" s="56">
        <v>1</v>
      </c>
      <c r="AA37" s="57">
        <v>1</v>
      </c>
      <c r="AB37" s="58">
        <v>2024</v>
      </c>
      <c r="AC37" s="33"/>
      <c r="AD37" s="50"/>
    </row>
    <row r="38" spans="1:31" ht="31.2" x14ac:dyDescent="0.3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40" t="s">
        <v>72</v>
      </c>
      <c r="S38" s="41" t="s">
        <v>38</v>
      </c>
      <c r="T38" s="44">
        <v>5</v>
      </c>
      <c r="U38" s="2">
        <v>6</v>
      </c>
      <c r="V38" s="2">
        <v>6</v>
      </c>
      <c r="W38" s="2">
        <v>6</v>
      </c>
      <c r="X38" s="2">
        <v>6</v>
      </c>
      <c r="Y38" s="2">
        <v>6</v>
      </c>
      <c r="Z38" s="2">
        <v>6</v>
      </c>
      <c r="AA38" s="49">
        <f>SUM(T38:Z38)</f>
        <v>41</v>
      </c>
      <c r="AB38" s="142">
        <v>2024</v>
      </c>
      <c r="AC38" s="121"/>
      <c r="AD38" s="102"/>
      <c r="AE38" s="8"/>
    </row>
    <row r="39" spans="1:31" x14ac:dyDescent="0.3">
      <c r="A39" s="54" t="s">
        <v>18</v>
      </c>
      <c r="B39" s="54" t="s">
        <v>19</v>
      </c>
      <c r="C39" s="54" t="s">
        <v>20</v>
      </c>
      <c r="D39" s="54" t="s">
        <v>18</v>
      </c>
      <c r="E39" s="54" t="s">
        <v>21</v>
      </c>
      <c r="F39" s="54" t="s">
        <v>18</v>
      </c>
      <c r="G39" s="54" t="s">
        <v>22</v>
      </c>
      <c r="H39" s="54" t="s">
        <v>19</v>
      </c>
      <c r="I39" s="54" t="s">
        <v>24</v>
      </c>
      <c r="J39" s="54" t="s">
        <v>18</v>
      </c>
      <c r="K39" s="54" t="s">
        <v>18</v>
      </c>
      <c r="L39" s="54" t="s">
        <v>19</v>
      </c>
      <c r="M39" s="54" t="s">
        <v>18</v>
      </c>
      <c r="N39" s="54" t="s">
        <v>18</v>
      </c>
      <c r="O39" s="54" t="s">
        <v>18</v>
      </c>
      <c r="P39" s="54" t="s">
        <v>18</v>
      </c>
      <c r="Q39" s="54" t="s">
        <v>18</v>
      </c>
      <c r="R39" s="157" t="s">
        <v>73</v>
      </c>
      <c r="S39" s="55" t="s">
        <v>0</v>
      </c>
      <c r="T39" s="59">
        <f t="shared" ref="T39:Y39" si="20">T40+T41+T42+T43</f>
        <v>85389.599999999991</v>
      </c>
      <c r="U39" s="59">
        <f t="shared" si="20"/>
        <v>0</v>
      </c>
      <c r="V39" s="59">
        <f t="shared" si="20"/>
        <v>0</v>
      </c>
      <c r="W39" s="59">
        <f t="shared" si="20"/>
        <v>0</v>
      </c>
      <c r="X39" s="59">
        <f t="shared" si="20"/>
        <v>0</v>
      </c>
      <c r="Y39" s="59">
        <f t="shared" si="20"/>
        <v>0</v>
      </c>
      <c r="Z39" s="59">
        <f t="shared" ref="Z39" si="21">Z40+Z41+Z42+Z43</f>
        <v>0</v>
      </c>
      <c r="AA39" s="59">
        <f>SUM(T39:Y39)</f>
        <v>85389.599999999991</v>
      </c>
      <c r="AB39" s="58">
        <v>2018</v>
      </c>
      <c r="AC39" s="125"/>
      <c r="AD39" s="60"/>
      <c r="AE39" s="8"/>
    </row>
    <row r="40" spans="1:31" ht="16.95" hidden="1" customHeight="1" x14ac:dyDescent="0.3">
      <c r="A40" s="54" t="s">
        <v>18</v>
      </c>
      <c r="B40" s="54" t="s">
        <v>19</v>
      </c>
      <c r="C40" s="54" t="s">
        <v>20</v>
      </c>
      <c r="D40" s="54" t="s">
        <v>18</v>
      </c>
      <c r="E40" s="54" t="s">
        <v>21</v>
      </c>
      <c r="F40" s="54" t="s">
        <v>18</v>
      </c>
      <c r="G40" s="54" t="s">
        <v>22</v>
      </c>
      <c r="H40" s="54" t="s">
        <v>19</v>
      </c>
      <c r="I40" s="54" t="s">
        <v>24</v>
      </c>
      <c r="J40" s="54" t="s">
        <v>18</v>
      </c>
      <c r="K40" s="54" t="s">
        <v>18</v>
      </c>
      <c r="L40" s="54" t="s">
        <v>19</v>
      </c>
      <c r="M40" s="54" t="s">
        <v>44</v>
      </c>
      <c r="N40" s="54" t="s">
        <v>21</v>
      </c>
      <c r="O40" s="54" t="s">
        <v>21</v>
      </c>
      <c r="P40" s="54" t="s">
        <v>21</v>
      </c>
      <c r="Q40" s="54" t="s">
        <v>45</v>
      </c>
      <c r="R40" s="157"/>
      <c r="S40" s="55" t="s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59">
        <f>SUM(T40:Y40)</f>
        <v>0</v>
      </c>
      <c r="AB40" s="58">
        <v>2022</v>
      </c>
      <c r="AD40" s="60"/>
      <c r="AE40" s="8"/>
    </row>
    <row r="41" spans="1:31" ht="16.95" hidden="1" customHeight="1" x14ac:dyDescent="0.3">
      <c r="A41" s="54" t="s">
        <v>18</v>
      </c>
      <c r="B41" s="54" t="s">
        <v>19</v>
      </c>
      <c r="C41" s="54" t="s">
        <v>20</v>
      </c>
      <c r="D41" s="54" t="s">
        <v>18</v>
      </c>
      <c r="E41" s="54" t="s">
        <v>21</v>
      </c>
      <c r="F41" s="54" t="s">
        <v>18</v>
      </c>
      <c r="G41" s="54" t="s">
        <v>22</v>
      </c>
      <c r="H41" s="54" t="s">
        <v>19</v>
      </c>
      <c r="I41" s="54" t="s">
        <v>24</v>
      </c>
      <c r="J41" s="54" t="s">
        <v>18</v>
      </c>
      <c r="K41" s="54" t="s">
        <v>18</v>
      </c>
      <c r="L41" s="54" t="s">
        <v>19</v>
      </c>
      <c r="M41" s="54" t="s">
        <v>44</v>
      </c>
      <c r="N41" s="54" t="s">
        <v>21</v>
      </c>
      <c r="O41" s="54" t="s">
        <v>21</v>
      </c>
      <c r="P41" s="54" t="s">
        <v>21</v>
      </c>
      <c r="Q41" s="54" t="s">
        <v>45</v>
      </c>
      <c r="R41" s="157"/>
      <c r="S41" s="55" t="s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59">
        <f>SUM(T41:Y41)</f>
        <v>0</v>
      </c>
      <c r="AB41" s="58">
        <v>2022</v>
      </c>
      <c r="AD41" s="60"/>
      <c r="AE41" s="8"/>
    </row>
    <row r="42" spans="1:31" x14ac:dyDescent="0.3">
      <c r="A42" s="54" t="s">
        <v>18</v>
      </c>
      <c r="B42" s="54" t="s">
        <v>19</v>
      </c>
      <c r="C42" s="54" t="s">
        <v>20</v>
      </c>
      <c r="D42" s="54" t="s">
        <v>18</v>
      </c>
      <c r="E42" s="54" t="s">
        <v>21</v>
      </c>
      <c r="F42" s="54" t="s">
        <v>18</v>
      </c>
      <c r="G42" s="54" t="s">
        <v>22</v>
      </c>
      <c r="H42" s="54" t="s">
        <v>19</v>
      </c>
      <c r="I42" s="54" t="s">
        <v>24</v>
      </c>
      <c r="J42" s="54" t="s">
        <v>18</v>
      </c>
      <c r="K42" s="54" t="s">
        <v>18</v>
      </c>
      <c r="L42" s="54" t="s">
        <v>19</v>
      </c>
      <c r="M42" s="54" t="s">
        <v>40</v>
      </c>
      <c r="N42" s="54" t="s">
        <v>21</v>
      </c>
      <c r="O42" s="54" t="s">
        <v>21</v>
      </c>
      <c r="P42" s="54" t="s">
        <v>21</v>
      </c>
      <c r="Q42" s="54" t="s">
        <v>18</v>
      </c>
      <c r="R42" s="157"/>
      <c r="S42" s="55" t="s">
        <v>0</v>
      </c>
      <c r="T42" s="1">
        <f>80246+3777-348.6</f>
        <v>83674.399999999994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59">
        <f>SUM(T42:Y42)</f>
        <v>83674.399999999994</v>
      </c>
      <c r="AB42" s="58">
        <v>2018</v>
      </c>
      <c r="AC42" s="123"/>
      <c r="AD42" s="102"/>
      <c r="AE42" s="102"/>
    </row>
    <row r="43" spans="1:31" x14ac:dyDescent="0.3">
      <c r="A43" s="54" t="s">
        <v>18</v>
      </c>
      <c r="B43" s="54" t="s">
        <v>19</v>
      </c>
      <c r="C43" s="54" t="s">
        <v>20</v>
      </c>
      <c r="D43" s="54" t="s">
        <v>18</v>
      </c>
      <c r="E43" s="54" t="s">
        <v>21</v>
      </c>
      <c r="F43" s="54" t="s">
        <v>18</v>
      </c>
      <c r="G43" s="54" t="s">
        <v>22</v>
      </c>
      <c r="H43" s="54" t="s">
        <v>19</v>
      </c>
      <c r="I43" s="54" t="s">
        <v>24</v>
      </c>
      <c r="J43" s="54" t="s">
        <v>18</v>
      </c>
      <c r="K43" s="54" t="s">
        <v>18</v>
      </c>
      <c r="L43" s="54" t="s">
        <v>19</v>
      </c>
      <c r="M43" s="54" t="s">
        <v>43</v>
      </c>
      <c r="N43" s="54" t="s">
        <v>43</v>
      </c>
      <c r="O43" s="54" t="s">
        <v>43</v>
      </c>
      <c r="P43" s="54" t="s">
        <v>43</v>
      </c>
      <c r="Q43" s="54" t="s">
        <v>43</v>
      </c>
      <c r="R43" s="157"/>
      <c r="S43" s="55" t="s">
        <v>0</v>
      </c>
      <c r="T43" s="1">
        <f>2298.3-43.1-12-538+10</f>
        <v>1715.2000000000003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59">
        <f>T43+U43+V43+W43+X43+Y43</f>
        <v>1715.2000000000003</v>
      </c>
      <c r="AB43" s="58">
        <v>2018</v>
      </c>
      <c r="AC43" s="123"/>
      <c r="AD43" s="104"/>
      <c r="AE43" s="104"/>
    </row>
    <row r="44" spans="1:31" s="72" customFormat="1" ht="31.95" customHeight="1" x14ac:dyDescent="0.3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61" t="s">
        <v>74</v>
      </c>
      <c r="S44" s="62" t="s">
        <v>38</v>
      </c>
      <c r="T44" s="2">
        <v>5</v>
      </c>
      <c r="U44" s="44">
        <v>0</v>
      </c>
      <c r="V44" s="44">
        <v>0</v>
      </c>
      <c r="W44" s="44">
        <v>0</v>
      </c>
      <c r="X44" s="44">
        <v>0</v>
      </c>
      <c r="Y44" s="44">
        <v>0</v>
      </c>
      <c r="Z44" s="44">
        <v>0</v>
      </c>
      <c r="AA44" s="49">
        <f>T44</f>
        <v>5</v>
      </c>
      <c r="AB44" s="73">
        <v>2018</v>
      </c>
      <c r="AC44" s="33"/>
      <c r="AD44" s="96"/>
      <c r="AE44" s="96"/>
    </row>
    <row r="45" spans="1:31" s="72" customFormat="1" ht="32.4" customHeight="1" x14ac:dyDescent="0.3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61" t="s">
        <v>75</v>
      </c>
      <c r="S45" s="62" t="s">
        <v>52</v>
      </c>
      <c r="T45" s="3">
        <v>89.6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6">
        <f>T45</f>
        <v>89.6</v>
      </c>
      <c r="AB45" s="73">
        <v>2018</v>
      </c>
      <c r="AC45" s="33"/>
      <c r="AD45" s="96"/>
      <c r="AE45" s="96"/>
    </row>
    <row r="46" spans="1:31" ht="46.8" x14ac:dyDescent="0.3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141" t="s">
        <v>76</v>
      </c>
      <c r="S46" s="55" t="s">
        <v>41</v>
      </c>
      <c r="T46" s="56">
        <v>0</v>
      </c>
      <c r="U46" s="56">
        <v>0</v>
      </c>
      <c r="V46" s="56">
        <v>0</v>
      </c>
      <c r="W46" s="56">
        <v>1</v>
      </c>
      <c r="X46" s="56">
        <v>1</v>
      </c>
      <c r="Y46" s="56">
        <v>1</v>
      </c>
      <c r="Z46" s="56">
        <v>1</v>
      </c>
      <c r="AA46" s="57">
        <v>1</v>
      </c>
      <c r="AB46" s="58">
        <v>2024</v>
      </c>
      <c r="AC46" s="33"/>
      <c r="AD46" s="104"/>
      <c r="AE46" s="104"/>
    </row>
    <row r="47" spans="1:31" s="51" customFormat="1" ht="31.2" x14ac:dyDescent="0.3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40" t="s">
        <v>77</v>
      </c>
      <c r="S47" s="52" t="s">
        <v>38</v>
      </c>
      <c r="T47" s="44">
        <v>0</v>
      </c>
      <c r="U47" s="44">
        <v>0</v>
      </c>
      <c r="V47" s="44">
        <v>0</v>
      </c>
      <c r="W47" s="44">
        <v>1</v>
      </c>
      <c r="X47" s="44">
        <v>1</v>
      </c>
      <c r="Y47" s="44">
        <v>1</v>
      </c>
      <c r="Z47" s="44">
        <v>1</v>
      </c>
      <c r="AA47" s="45">
        <f>SUM(T47:Z47)</f>
        <v>4</v>
      </c>
      <c r="AB47" s="41">
        <v>2024</v>
      </c>
      <c r="AC47" s="33"/>
      <c r="AD47" s="50"/>
    </row>
    <row r="48" spans="1:31" ht="24.6" hidden="1" customHeight="1" x14ac:dyDescent="0.3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158" t="s">
        <v>78</v>
      </c>
      <c r="S48" s="63" t="s">
        <v>0</v>
      </c>
      <c r="T48" s="1"/>
      <c r="U48" s="1">
        <f t="shared" ref="U48:Z48" si="22">U50</f>
        <v>0</v>
      </c>
      <c r="V48" s="1">
        <f t="shared" si="22"/>
        <v>0</v>
      </c>
      <c r="W48" s="1">
        <f t="shared" si="22"/>
        <v>0</v>
      </c>
      <c r="X48" s="1">
        <f t="shared" si="22"/>
        <v>0</v>
      </c>
      <c r="Y48" s="1">
        <f t="shared" si="22"/>
        <v>0</v>
      </c>
      <c r="Z48" s="1">
        <f t="shared" si="22"/>
        <v>0</v>
      </c>
      <c r="AA48" s="59">
        <f>T48+U48+V48+W48+X48+Y48</f>
        <v>0</v>
      </c>
      <c r="AB48" s="58">
        <v>2018</v>
      </c>
    </row>
    <row r="49" spans="1:34" ht="22.2" hidden="1" customHeight="1" x14ac:dyDescent="0.3">
      <c r="A49" s="54" t="s">
        <v>18</v>
      </c>
      <c r="B49" s="54" t="s">
        <v>18</v>
      </c>
      <c r="C49" s="54" t="s">
        <v>23</v>
      </c>
      <c r="D49" s="54" t="s">
        <v>18</v>
      </c>
      <c r="E49" s="54" t="s">
        <v>21</v>
      </c>
      <c r="F49" s="54" t="s">
        <v>18</v>
      </c>
      <c r="G49" s="54" t="s">
        <v>22</v>
      </c>
      <c r="H49" s="54" t="s">
        <v>19</v>
      </c>
      <c r="I49" s="54" t="s">
        <v>24</v>
      </c>
      <c r="J49" s="54" t="s">
        <v>18</v>
      </c>
      <c r="K49" s="54" t="s">
        <v>18</v>
      </c>
      <c r="L49" s="54" t="s">
        <v>19</v>
      </c>
      <c r="M49" s="54" t="s">
        <v>18</v>
      </c>
      <c r="N49" s="54" t="s">
        <v>18</v>
      </c>
      <c r="O49" s="54" t="s">
        <v>18</v>
      </c>
      <c r="P49" s="54" t="s">
        <v>18</v>
      </c>
      <c r="Q49" s="54" t="s">
        <v>18</v>
      </c>
      <c r="R49" s="159"/>
      <c r="S49" s="55" t="s">
        <v>0</v>
      </c>
      <c r="T49" s="1"/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59">
        <f>T49+U49+V49+W49+X49+Y49</f>
        <v>0</v>
      </c>
      <c r="AB49" s="58">
        <v>2018</v>
      </c>
    </row>
    <row r="50" spans="1:34" ht="20.399999999999999" hidden="1" customHeight="1" x14ac:dyDescent="0.3">
      <c r="A50" s="54" t="s">
        <v>18</v>
      </c>
      <c r="B50" s="54" t="s">
        <v>18</v>
      </c>
      <c r="C50" s="54" t="s">
        <v>23</v>
      </c>
      <c r="D50" s="54" t="s">
        <v>18</v>
      </c>
      <c r="E50" s="54" t="s">
        <v>21</v>
      </c>
      <c r="F50" s="54" t="s">
        <v>18</v>
      </c>
      <c r="G50" s="54" t="s">
        <v>22</v>
      </c>
      <c r="H50" s="54" t="s">
        <v>19</v>
      </c>
      <c r="I50" s="54" t="s">
        <v>24</v>
      </c>
      <c r="J50" s="54" t="s">
        <v>18</v>
      </c>
      <c r="K50" s="54" t="s">
        <v>18</v>
      </c>
      <c r="L50" s="54" t="s">
        <v>19</v>
      </c>
      <c r="M50" s="54" t="s">
        <v>19</v>
      </c>
      <c r="N50" s="54" t="s">
        <v>18</v>
      </c>
      <c r="O50" s="54" t="s">
        <v>23</v>
      </c>
      <c r="P50" s="54" t="s">
        <v>19</v>
      </c>
      <c r="Q50" s="54" t="s">
        <v>45</v>
      </c>
      <c r="R50" s="159"/>
      <c r="S50" s="63" t="s">
        <v>0</v>
      </c>
      <c r="T50" s="1"/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59">
        <f>T50+U50+V50+W50+X50+Y50</f>
        <v>0</v>
      </c>
      <c r="AB50" s="58">
        <v>2018</v>
      </c>
    </row>
    <row r="51" spans="1:34" ht="21" hidden="1" customHeight="1" x14ac:dyDescent="0.3">
      <c r="A51" s="54" t="s">
        <v>18</v>
      </c>
      <c r="B51" s="54" t="s">
        <v>18</v>
      </c>
      <c r="C51" s="54" t="s">
        <v>23</v>
      </c>
      <c r="D51" s="54" t="s">
        <v>18</v>
      </c>
      <c r="E51" s="54" t="s">
        <v>21</v>
      </c>
      <c r="F51" s="54" t="s">
        <v>18</v>
      </c>
      <c r="G51" s="54" t="s">
        <v>22</v>
      </c>
      <c r="H51" s="54" t="s">
        <v>19</v>
      </c>
      <c r="I51" s="54" t="s">
        <v>24</v>
      </c>
      <c r="J51" s="54" t="s">
        <v>18</v>
      </c>
      <c r="K51" s="54" t="s">
        <v>18</v>
      </c>
      <c r="L51" s="54" t="s">
        <v>19</v>
      </c>
      <c r="M51" s="54" t="s">
        <v>37</v>
      </c>
      <c r="N51" s="54" t="s">
        <v>18</v>
      </c>
      <c r="O51" s="54" t="s">
        <v>23</v>
      </c>
      <c r="P51" s="54" t="s">
        <v>19</v>
      </c>
      <c r="Q51" s="54" t="s">
        <v>47</v>
      </c>
      <c r="R51" s="159"/>
      <c r="S51" s="63" t="s">
        <v>0</v>
      </c>
      <c r="T51" s="1"/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59">
        <f>T51+U51+V51+W51+X51+Y51</f>
        <v>0</v>
      </c>
      <c r="AB51" s="57">
        <v>2018</v>
      </c>
    </row>
    <row r="52" spans="1:34" ht="36" hidden="1" customHeight="1" x14ac:dyDescent="0.3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40" t="s">
        <v>79</v>
      </c>
      <c r="S52" s="41" t="s">
        <v>50</v>
      </c>
      <c r="T52" s="44"/>
      <c r="U52" s="44">
        <v>0</v>
      </c>
      <c r="V52" s="44">
        <v>0</v>
      </c>
      <c r="W52" s="44">
        <v>0</v>
      </c>
      <c r="X52" s="44">
        <v>0</v>
      </c>
      <c r="Y52" s="44">
        <v>0</v>
      </c>
      <c r="Z52" s="44">
        <v>0</v>
      </c>
      <c r="AA52" s="49"/>
      <c r="AB52" s="2">
        <v>2018</v>
      </c>
      <c r="AD52" s="104"/>
      <c r="AE52" s="104"/>
    </row>
    <row r="53" spans="1:34" ht="41.4" hidden="1" customHeight="1" x14ac:dyDescent="0.3">
      <c r="A53" s="34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64" t="s">
        <v>80</v>
      </c>
      <c r="S53" s="65" t="s">
        <v>9</v>
      </c>
      <c r="T53" s="66">
        <v>100</v>
      </c>
      <c r="U53" s="66">
        <v>0</v>
      </c>
      <c r="V53" s="66">
        <v>0</v>
      </c>
      <c r="W53" s="66">
        <v>0</v>
      </c>
      <c r="X53" s="66">
        <v>0</v>
      </c>
      <c r="Y53" s="66">
        <v>0</v>
      </c>
      <c r="Z53" s="66">
        <v>0</v>
      </c>
      <c r="AA53" s="67">
        <v>100</v>
      </c>
      <c r="AB53" s="23">
        <v>2023</v>
      </c>
      <c r="AC53" s="115"/>
      <c r="AD53" s="102"/>
    </row>
    <row r="54" spans="1:34" ht="31.2" x14ac:dyDescent="0.3">
      <c r="A54" s="54"/>
      <c r="B54" s="54"/>
      <c r="C54" s="54"/>
      <c r="D54" s="54" t="s">
        <v>18</v>
      </c>
      <c r="E54" s="54" t="s">
        <v>21</v>
      </c>
      <c r="F54" s="54" t="s">
        <v>18</v>
      </c>
      <c r="G54" s="54" t="s">
        <v>22</v>
      </c>
      <c r="H54" s="54" t="s">
        <v>19</v>
      </c>
      <c r="I54" s="54" t="s">
        <v>24</v>
      </c>
      <c r="J54" s="54" t="s">
        <v>18</v>
      </c>
      <c r="K54" s="54" t="s">
        <v>18</v>
      </c>
      <c r="L54" s="54" t="s">
        <v>19</v>
      </c>
      <c r="M54" s="54" t="s">
        <v>43</v>
      </c>
      <c r="N54" s="54" t="s">
        <v>43</v>
      </c>
      <c r="O54" s="54" t="s">
        <v>43</v>
      </c>
      <c r="P54" s="54" t="s">
        <v>43</v>
      </c>
      <c r="Q54" s="54" t="s">
        <v>43</v>
      </c>
      <c r="R54" s="68" t="s">
        <v>81</v>
      </c>
      <c r="S54" s="58" t="s">
        <v>0</v>
      </c>
      <c r="T54" s="59">
        <f t="shared" ref="T54:Y54" si="23">T56+T58+T63+T60</f>
        <v>5077.4000000000005</v>
      </c>
      <c r="U54" s="59">
        <f t="shared" si="23"/>
        <v>2855.4</v>
      </c>
      <c r="V54" s="59">
        <f t="shared" si="23"/>
        <v>2623.8999999999996</v>
      </c>
      <c r="W54" s="59">
        <f t="shared" si="23"/>
        <v>3600</v>
      </c>
      <c r="X54" s="59">
        <f t="shared" si="23"/>
        <v>3600</v>
      </c>
      <c r="Y54" s="59">
        <f t="shared" si="23"/>
        <v>3600</v>
      </c>
      <c r="Z54" s="59">
        <f t="shared" ref="Z54" si="24">Z56+Z58+Z63+Z60</f>
        <v>3600</v>
      </c>
      <c r="AA54" s="59">
        <f>SUM(T54:Z54)</f>
        <v>24956.7</v>
      </c>
      <c r="AB54" s="58">
        <v>2024</v>
      </c>
      <c r="AC54" s="120"/>
    </row>
    <row r="55" spans="1:34" ht="31.2" x14ac:dyDescent="0.3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61" t="s">
        <v>82</v>
      </c>
      <c r="S55" s="142" t="s">
        <v>38</v>
      </c>
      <c r="T55" s="2">
        <f t="shared" ref="T55:Y55" si="25">T57+T59+T61+T64</f>
        <v>10</v>
      </c>
      <c r="U55" s="2">
        <f t="shared" si="25"/>
        <v>10</v>
      </c>
      <c r="V55" s="2">
        <f t="shared" si="25"/>
        <v>9</v>
      </c>
      <c r="W55" s="2">
        <f t="shared" si="25"/>
        <v>9</v>
      </c>
      <c r="X55" s="2">
        <f t="shared" si="25"/>
        <v>9</v>
      </c>
      <c r="Y55" s="2">
        <f t="shared" si="25"/>
        <v>9</v>
      </c>
      <c r="Z55" s="2">
        <f t="shared" ref="Z55" si="26">Z57+Z59+Z61+Z64</f>
        <v>9</v>
      </c>
      <c r="AA55" s="49">
        <v>9</v>
      </c>
      <c r="AB55" s="41">
        <v>2024</v>
      </c>
      <c r="AC55" s="126"/>
      <c r="AD55" s="105"/>
      <c r="AE55" s="116"/>
      <c r="AF55" s="106"/>
      <c r="AG55" s="116"/>
      <c r="AH55" s="106"/>
    </row>
    <row r="56" spans="1:34" s="72" customFormat="1" ht="31.2" x14ac:dyDescent="0.3">
      <c r="A56" s="54" t="s">
        <v>18</v>
      </c>
      <c r="B56" s="54" t="s">
        <v>18</v>
      </c>
      <c r="C56" s="54" t="s">
        <v>22</v>
      </c>
      <c r="D56" s="54" t="s">
        <v>18</v>
      </c>
      <c r="E56" s="54" t="s">
        <v>21</v>
      </c>
      <c r="F56" s="54" t="s">
        <v>18</v>
      </c>
      <c r="G56" s="54" t="s">
        <v>22</v>
      </c>
      <c r="H56" s="54" t="s">
        <v>19</v>
      </c>
      <c r="I56" s="54" t="s">
        <v>24</v>
      </c>
      <c r="J56" s="54" t="s">
        <v>18</v>
      </c>
      <c r="K56" s="54" t="s">
        <v>18</v>
      </c>
      <c r="L56" s="54" t="s">
        <v>19</v>
      </c>
      <c r="M56" s="54" t="s">
        <v>43</v>
      </c>
      <c r="N56" s="54" t="s">
        <v>43</v>
      </c>
      <c r="O56" s="54" t="s">
        <v>43</v>
      </c>
      <c r="P56" s="54" t="s">
        <v>43</v>
      </c>
      <c r="Q56" s="54" t="s">
        <v>43</v>
      </c>
      <c r="R56" s="69" t="s">
        <v>83</v>
      </c>
      <c r="S56" s="55" t="s">
        <v>0</v>
      </c>
      <c r="T56" s="1">
        <f>1417.5-141.8-26.5</f>
        <v>1249.2</v>
      </c>
      <c r="U56" s="1">
        <f>1000-88.8-46.3</f>
        <v>864.90000000000009</v>
      </c>
      <c r="V56" s="1">
        <f>1000-374-115</f>
        <v>511</v>
      </c>
      <c r="W56" s="1">
        <v>1000</v>
      </c>
      <c r="X56" s="1">
        <v>1000</v>
      </c>
      <c r="Y56" s="1">
        <v>1000</v>
      </c>
      <c r="Z56" s="1">
        <v>1000</v>
      </c>
      <c r="AA56" s="59">
        <f>SUM(T56:Z56)</f>
        <v>6625.1</v>
      </c>
      <c r="AB56" s="58">
        <v>2024</v>
      </c>
      <c r="AC56" s="118"/>
      <c r="AD56" s="71"/>
      <c r="AE56" s="71"/>
    </row>
    <row r="57" spans="1:34" s="51" customFormat="1" ht="46.8" x14ac:dyDescent="0.3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48" t="s">
        <v>84</v>
      </c>
      <c r="S57" s="41" t="s">
        <v>38</v>
      </c>
      <c r="T57" s="2">
        <v>3</v>
      </c>
      <c r="U57" s="2">
        <v>3</v>
      </c>
      <c r="V57" s="2">
        <v>2</v>
      </c>
      <c r="W57" s="2">
        <v>2</v>
      </c>
      <c r="X57" s="2">
        <v>2</v>
      </c>
      <c r="Y57" s="2">
        <v>2</v>
      </c>
      <c r="Z57" s="2">
        <v>2</v>
      </c>
      <c r="AA57" s="45">
        <v>2</v>
      </c>
      <c r="AB57" s="41">
        <v>2024</v>
      </c>
      <c r="AC57" s="126"/>
      <c r="AD57" s="105"/>
      <c r="AE57" s="105"/>
    </row>
    <row r="58" spans="1:34" s="72" customFormat="1" ht="31.2" x14ac:dyDescent="0.3">
      <c r="A58" s="54" t="s">
        <v>18</v>
      </c>
      <c r="B58" s="54" t="s">
        <v>18</v>
      </c>
      <c r="C58" s="54" t="s">
        <v>24</v>
      </c>
      <c r="D58" s="54" t="s">
        <v>18</v>
      </c>
      <c r="E58" s="54" t="s">
        <v>21</v>
      </c>
      <c r="F58" s="54" t="s">
        <v>18</v>
      </c>
      <c r="G58" s="54" t="s">
        <v>22</v>
      </c>
      <c r="H58" s="54" t="s">
        <v>19</v>
      </c>
      <c r="I58" s="54" t="s">
        <v>24</v>
      </c>
      <c r="J58" s="54" t="s">
        <v>18</v>
      </c>
      <c r="K58" s="54" t="s">
        <v>18</v>
      </c>
      <c r="L58" s="54" t="s">
        <v>19</v>
      </c>
      <c r="M58" s="54" t="s">
        <v>43</v>
      </c>
      <c r="N58" s="54" t="s">
        <v>43</v>
      </c>
      <c r="O58" s="54" t="s">
        <v>43</v>
      </c>
      <c r="P58" s="54" t="s">
        <v>43</v>
      </c>
      <c r="Q58" s="54" t="s">
        <v>43</v>
      </c>
      <c r="R58" s="69" t="s">
        <v>85</v>
      </c>
      <c r="S58" s="55" t="s">
        <v>0</v>
      </c>
      <c r="T58" s="1">
        <f>1115-77.4</f>
        <v>1037.5999999999999</v>
      </c>
      <c r="U58" s="1">
        <f>1100-208-27.6</f>
        <v>864.4</v>
      </c>
      <c r="V58" s="1">
        <f>1100-205.4</f>
        <v>894.6</v>
      </c>
      <c r="W58" s="1">
        <v>1100</v>
      </c>
      <c r="X58" s="1">
        <v>1100</v>
      </c>
      <c r="Y58" s="1">
        <v>1100</v>
      </c>
      <c r="Z58" s="1">
        <v>1100</v>
      </c>
      <c r="AA58" s="59">
        <f>SUM(T58:Z58)</f>
        <v>7196.6</v>
      </c>
      <c r="AB58" s="58">
        <v>2024</v>
      </c>
      <c r="AC58" s="33"/>
      <c r="AD58" s="71"/>
      <c r="AE58" s="71"/>
    </row>
    <row r="59" spans="1:34" s="51" customFormat="1" ht="46.8" x14ac:dyDescent="0.3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48" t="s">
        <v>86</v>
      </c>
      <c r="S59" s="41" t="s">
        <v>38</v>
      </c>
      <c r="T59" s="44">
        <v>4</v>
      </c>
      <c r="U59" s="44">
        <v>4</v>
      </c>
      <c r="V59" s="44">
        <v>4</v>
      </c>
      <c r="W59" s="44">
        <v>4</v>
      </c>
      <c r="X59" s="44">
        <v>4</v>
      </c>
      <c r="Y59" s="44">
        <v>4</v>
      </c>
      <c r="Z59" s="44">
        <v>4</v>
      </c>
      <c r="AA59" s="49">
        <v>4</v>
      </c>
      <c r="AB59" s="41">
        <v>2024</v>
      </c>
      <c r="AC59" s="127"/>
      <c r="AD59" s="113"/>
      <c r="AE59" s="107"/>
    </row>
    <row r="60" spans="1:34" s="72" customFormat="1" ht="31.2" x14ac:dyDescent="0.3">
      <c r="A60" s="54" t="s">
        <v>18</v>
      </c>
      <c r="B60" s="54" t="s">
        <v>18</v>
      </c>
      <c r="C60" s="54" t="s">
        <v>21</v>
      </c>
      <c r="D60" s="54" t="s">
        <v>18</v>
      </c>
      <c r="E60" s="54" t="s">
        <v>21</v>
      </c>
      <c r="F60" s="54" t="s">
        <v>18</v>
      </c>
      <c r="G60" s="54" t="s">
        <v>22</v>
      </c>
      <c r="H60" s="54" t="s">
        <v>19</v>
      </c>
      <c r="I60" s="54" t="s">
        <v>24</v>
      </c>
      <c r="J60" s="54" t="s">
        <v>18</v>
      </c>
      <c r="K60" s="54" t="s">
        <v>18</v>
      </c>
      <c r="L60" s="54" t="s">
        <v>19</v>
      </c>
      <c r="M60" s="54" t="s">
        <v>43</v>
      </c>
      <c r="N60" s="54" t="s">
        <v>43</v>
      </c>
      <c r="O60" s="54" t="s">
        <v>43</v>
      </c>
      <c r="P60" s="54" t="s">
        <v>43</v>
      </c>
      <c r="Q60" s="54" t="s">
        <v>43</v>
      </c>
      <c r="R60" s="69" t="s">
        <v>85</v>
      </c>
      <c r="S60" s="55" t="s">
        <v>0</v>
      </c>
      <c r="T60" s="1">
        <f>962.3-96.3-88.8</f>
        <v>777.2</v>
      </c>
      <c r="U60" s="1">
        <f>800-392-1.6</f>
        <v>406.4</v>
      </c>
      <c r="V60" s="1">
        <f>800-126</f>
        <v>674</v>
      </c>
      <c r="W60" s="1">
        <v>800</v>
      </c>
      <c r="X60" s="1">
        <v>800</v>
      </c>
      <c r="Y60" s="1">
        <v>800</v>
      </c>
      <c r="Z60" s="1">
        <v>800</v>
      </c>
      <c r="AA60" s="59">
        <f>SUM(T60:Z60)</f>
        <v>5057.6000000000004</v>
      </c>
      <c r="AB60" s="58">
        <v>2024</v>
      </c>
      <c r="AC60" s="120"/>
    </row>
    <row r="61" spans="1:34" s="72" customFormat="1" ht="48" customHeight="1" x14ac:dyDescent="0.3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48" t="s">
        <v>87</v>
      </c>
      <c r="S61" s="41" t="s">
        <v>38</v>
      </c>
      <c r="T61" s="44">
        <v>2</v>
      </c>
      <c r="U61" s="44">
        <v>2</v>
      </c>
      <c r="V61" s="44">
        <v>2</v>
      </c>
      <c r="W61" s="44">
        <v>2</v>
      </c>
      <c r="X61" s="44">
        <v>2</v>
      </c>
      <c r="Y61" s="44">
        <v>2</v>
      </c>
      <c r="Z61" s="44">
        <v>2</v>
      </c>
      <c r="AA61" s="49">
        <v>2</v>
      </c>
      <c r="AB61" s="41">
        <v>2024</v>
      </c>
      <c r="AC61" s="33"/>
    </row>
    <row r="62" spans="1:34" s="51" customFormat="1" ht="47.25" hidden="1" customHeight="1" x14ac:dyDescent="0.3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64" t="s">
        <v>88</v>
      </c>
      <c r="S62" s="65" t="s">
        <v>8</v>
      </c>
      <c r="T62" s="66">
        <v>0</v>
      </c>
      <c r="U62" s="66">
        <v>0</v>
      </c>
      <c r="V62" s="66">
        <v>0</v>
      </c>
      <c r="W62" s="66">
        <v>0</v>
      </c>
      <c r="X62" s="66">
        <v>0</v>
      </c>
      <c r="Y62" s="66">
        <v>0</v>
      </c>
      <c r="Z62" s="66">
        <v>0</v>
      </c>
      <c r="AA62" s="67">
        <f>T62+U62+V62+W62+X62+Y62</f>
        <v>0</v>
      </c>
      <c r="AB62" s="23">
        <v>2023</v>
      </c>
      <c r="AC62" s="127"/>
      <c r="AD62" s="102"/>
      <c r="AE62" s="105"/>
    </row>
    <row r="63" spans="1:34" s="72" customFormat="1" ht="31.2" x14ac:dyDescent="0.3">
      <c r="A63" s="54" t="s">
        <v>18</v>
      </c>
      <c r="B63" s="54" t="s">
        <v>18</v>
      </c>
      <c r="C63" s="54" t="s">
        <v>25</v>
      </c>
      <c r="D63" s="54" t="s">
        <v>18</v>
      </c>
      <c r="E63" s="54" t="s">
        <v>21</v>
      </c>
      <c r="F63" s="54" t="s">
        <v>18</v>
      </c>
      <c r="G63" s="54" t="s">
        <v>22</v>
      </c>
      <c r="H63" s="54" t="s">
        <v>19</v>
      </c>
      <c r="I63" s="54" t="s">
        <v>24</v>
      </c>
      <c r="J63" s="54" t="s">
        <v>18</v>
      </c>
      <c r="K63" s="54" t="s">
        <v>18</v>
      </c>
      <c r="L63" s="54" t="s">
        <v>19</v>
      </c>
      <c r="M63" s="54" t="s">
        <v>43</v>
      </c>
      <c r="N63" s="54" t="s">
        <v>43</v>
      </c>
      <c r="O63" s="54" t="s">
        <v>43</v>
      </c>
      <c r="P63" s="54" t="s">
        <v>43</v>
      </c>
      <c r="Q63" s="54" t="s">
        <v>43</v>
      </c>
      <c r="R63" s="69" t="s">
        <v>89</v>
      </c>
      <c r="S63" s="55" t="s">
        <v>0</v>
      </c>
      <c r="T63" s="1">
        <f>646.8+300+1489-55+86.2-453.6</f>
        <v>2013.4</v>
      </c>
      <c r="U63" s="1">
        <f>600+369.3+0.6+20-270.2</f>
        <v>719.7</v>
      </c>
      <c r="V63" s="1">
        <f>600-42.7-13</f>
        <v>544.29999999999995</v>
      </c>
      <c r="W63" s="1">
        <f>600+100</f>
        <v>700</v>
      </c>
      <c r="X63" s="1">
        <f t="shared" ref="X63:Z63" si="27">600+100</f>
        <v>700</v>
      </c>
      <c r="Y63" s="1">
        <f t="shared" si="27"/>
        <v>700</v>
      </c>
      <c r="Z63" s="1">
        <f t="shared" si="27"/>
        <v>700</v>
      </c>
      <c r="AA63" s="59">
        <f>SUM(T63:Z63)</f>
        <v>6077.4000000000005</v>
      </c>
      <c r="AB63" s="58">
        <v>2024</v>
      </c>
      <c r="AC63" s="120"/>
    </row>
    <row r="64" spans="1:34" s="72" customFormat="1" ht="46.8" x14ac:dyDescent="0.3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48" t="s">
        <v>90</v>
      </c>
      <c r="S64" s="41" t="s">
        <v>38</v>
      </c>
      <c r="T64" s="44">
        <v>1</v>
      </c>
      <c r="U64" s="44">
        <v>1</v>
      </c>
      <c r="V64" s="44">
        <v>1</v>
      </c>
      <c r="W64" s="44">
        <v>1</v>
      </c>
      <c r="X64" s="44">
        <v>1</v>
      </c>
      <c r="Y64" s="44">
        <v>1</v>
      </c>
      <c r="Z64" s="44">
        <v>1</v>
      </c>
      <c r="AA64" s="49">
        <v>1</v>
      </c>
      <c r="AB64" s="41">
        <v>2024</v>
      </c>
      <c r="AC64" s="33"/>
    </row>
    <row r="65" spans="1:34" s="72" customFormat="1" ht="31.2" x14ac:dyDescent="0.3">
      <c r="A65" s="54"/>
      <c r="B65" s="54"/>
      <c r="C65" s="54"/>
      <c r="D65" s="54" t="s">
        <v>18</v>
      </c>
      <c r="E65" s="54" t="s">
        <v>21</v>
      </c>
      <c r="F65" s="54" t="s">
        <v>18</v>
      </c>
      <c r="G65" s="54" t="s">
        <v>22</v>
      </c>
      <c r="H65" s="54" t="s">
        <v>19</v>
      </c>
      <c r="I65" s="54" t="s">
        <v>24</v>
      </c>
      <c r="J65" s="54" t="s">
        <v>18</v>
      </c>
      <c r="K65" s="54" t="s">
        <v>18</v>
      </c>
      <c r="L65" s="54" t="s">
        <v>19</v>
      </c>
      <c r="M65" s="54" t="s">
        <v>18</v>
      </c>
      <c r="N65" s="54" t="s">
        <v>18</v>
      </c>
      <c r="O65" s="54" t="s">
        <v>18</v>
      </c>
      <c r="P65" s="54" t="s">
        <v>18</v>
      </c>
      <c r="Q65" s="54" t="s">
        <v>18</v>
      </c>
      <c r="R65" s="68" t="s">
        <v>91</v>
      </c>
      <c r="S65" s="58" t="s">
        <v>0</v>
      </c>
      <c r="T65" s="59">
        <f t="shared" ref="T65:Y65" si="28">T67+T69+T76</f>
        <v>3922.5999999999995</v>
      </c>
      <c r="U65" s="59">
        <f t="shared" si="28"/>
        <v>4901.3</v>
      </c>
      <c r="V65" s="59">
        <f>V67+V69+V76</f>
        <v>5627.7999999999993</v>
      </c>
      <c r="W65" s="59">
        <f t="shared" si="28"/>
        <v>3045.3</v>
      </c>
      <c r="X65" s="59">
        <f t="shared" si="28"/>
        <v>3045.3</v>
      </c>
      <c r="Y65" s="59">
        <f t="shared" si="28"/>
        <v>3045.3</v>
      </c>
      <c r="Z65" s="59">
        <f t="shared" ref="Z65" si="29">Z67+Z69+Z76</f>
        <v>3045.3</v>
      </c>
      <c r="AA65" s="59">
        <f>SUM(T65:Z65)</f>
        <v>26632.899999999998</v>
      </c>
      <c r="AB65" s="58">
        <v>2024</v>
      </c>
      <c r="AC65" s="120"/>
    </row>
    <row r="66" spans="1:34" s="51" customFormat="1" ht="31.2" customHeight="1" x14ac:dyDescent="0.3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61" t="s">
        <v>92</v>
      </c>
      <c r="S66" s="142" t="s">
        <v>38</v>
      </c>
      <c r="T66" s="2">
        <f t="shared" ref="T66:Y66" si="30">T68+T75+T80</f>
        <v>20</v>
      </c>
      <c r="U66" s="2">
        <f t="shared" si="30"/>
        <v>20</v>
      </c>
      <c r="V66" s="2">
        <f t="shared" si="30"/>
        <v>20</v>
      </c>
      <c r="W66" s="2">
        <f t="shared" si="30"/>
        <v>20</v>
      </c>
      <c r="X66" s="2">
        <f t="shared" si="30"/>
        <v>20</v>
      </c>
      <c r="Y66" s="2">
        <f t="shared" si="30"/>
        <v>20</v>
      </c>
      <c r="Z66" s="2">
        <f t="shared" ref="Z66" si="31">Z68+Z75+Z80</f>
        <v>20</v>
      </c>
      <c r="AA66" s="49">
        <v>20</v>
      </c>
      <c r="AB66" s="41">
        <v>2024</v>
      </c>
      <c r="AC66" s="33"/>
    </row>
    <row r="67" spans="1:34" s="72" customFormat="1" ht="31.2" x14ac:dyDescent="0.3">
      <c r="A67" s="54" t="s">
        <v>18</v>
      </c>
      <c r="B67" s="54" t="s">
        <v>18</v>
      </c>
      <c r="C67" s="54" t="s">
        <v>22</v>
      </c>
      <c r="D67" s="54" t="s">
        <v>18</v>
      </c>
      <c r="E67" s="54" t="s">
        <v>21</v>
      </c>
      <c r="F67" s="54" t="s">
        <v>18</v>
      </c>
      <c r="G67" s="54" t="s">
        <v>22</v>
      </c>
      <c r="H67" s="54" t="s">
        <v>19</v>
      </c>
      <c r="I67" s="54" t="s">
        <v>24</v>
      </c>
      <c r="J67" s="54" t="s">
        <v>18</v>
      </c>
      <c r="K67" s="54" t="s">
        <v>18</v>
      </c>
      <c r="L67" s="54" t="s">
        <v>19</v>
      </c>
      <c r="M67" s="54" t="s">
        <v>43</v>
      </c>
      <c r="N67" s="54" t="s">
        <v>43</v>
      </c>
      <c r="O67" s="54" t="s">
        <v>43</v>
      </c>
      <c r="P67" s="54" t="s">
        <v>43</v>
      </c>
      <c r="Q67" s="54" t="s">
        <v>43</v>
      </c>
      <c r="R67" s="69" t="s">
        <v>93</v>
      </c>
      <c r="S67" s="55" t="s">
        <v>0</v>
      </c>
      <c r="T67" s="1">
        <f>2867.4-463.9-79-1000</f>
        <v>1324.5</v>
      </c>
      <c r="U67" s="1">
        <f>1867.4-227.9-273.9-31.9</f>
        <v>1333.6999999999998</v>
      </c>
      <c r="V67" s="1">
        <f>1867.4-1012.3</f>
        <v>855.10000000000014</v>
      </c>
      <c r="W67" s="1">
        <v>619.5</v>
      </c>
      <c r="X67" s="1">
        <v>619.5</v>
      </c>
      <c r="Y67" s="1">
        <v>619.5</v>
      </c>
      <c r="Z67" s="1">
        <v>619.5</v>
      </c>
      <c r="AA67" s="59">
        <f>SUM(T67:Z67)</f>
        <v>5991.3</v>
      </c>
      <c r="AB67" s="58">
        <v>2024</v>
      </c>
      <c r="AC67" s="119"/>
      <c r="AD67" s="109"/>
      <c r="AE67" s="109"/>
      <c r="AG67" s="110"/>
      <c r="AH67" s="109"/>
    </row>
    <row r="68" spans="1:34" s="51" customFormat="1" ht="46.8" x14ac:dyDescent="0.3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48" t="s">
        <v>94</v>
      </c>
      <c r="S68" s="41" t="s">
        <v>38</v>
      </c>
      <c r="T68" s="2">
        <v>14</v>
      </c>
      <c r="U68" s="2">
        <v>14</v>
      </c>
      <c r="V68" s="2">
        <v>14</v>
      </c>
      <c r="W68" s="2">
        <v>14</v>
      </c>
      <c r="X68" s="2">
        <v>14</v>
      </c>
      <c r="Y68" s="2">
        <v>14</v>
      </c>
      <c r="Z68" s="2">
        <v>14</v>
      </c>
      <c r="AA68" s="49">
        <v>14</v>
      </c>
      <c r="AB68" s="41">
        <v>2024</v>
      </c>
      <c r="AC68" s="33"/>
    </row>
    <row r="69" spans="1:34" s="72" customFormat="1" x14ac:dyDescent="0.3">
      <c r="A69" s="54" t="s">
        <v>18</v>
      </c>
      <c r="B69" s="54" t="s">
        <v>18</v>
      </c>
      <c r="C69" s="54" t="s">
        <v>24</v>
      </c>
      <c r="D69" s="54" t="s">
        <v>18</v>
      </c>
      <c r="E69" s="54" t="s">
        <v>21</v>
      </c>
      <c r="F69" s="54" t="s">
        <v>18</v>
      </c>
      <c r="G69" s="54" t="s">
        <v>22</v>
      </c>
      <c r="H69" s="54" t="s">
        <v>19</v>
      </c>
      <c r="I69" s="54" t="s">
        <v>24</v>
      </c>
      <c r="J69" s="54" t="s">
        <v>18</v>
      </c>
      <c r="K69" s="54" t="s">
        <v>18</v>
      </c>
      <c r="L69" s="54" t="s">
        <v>19</v>
      </c>
      <c r="M69" s="54" t="s">
        <v>18</v>
      </c>
      <c r="N69" s="54" t="s">
        <v>18</v>
      </c>
      <c r="O69" s="54" t="s">
        <v>18</v>
      </c>
      <c r="P69" s="54" t="s">
        <v>18</v>
      </c>
      <c r="Q69" s="54" t="s">
        <v>18</v>
      </c>
      <c r="R69" s="157" t="s">
        <v>93</v>
      </c>
      <c r="S69" s="55" t="s">
        <v>0</v>
      </c>
      <c r="T69" s="1">
        <f>SUM(T70:T74)</f>
        <v>501.8</v>
      </c>
      <c r="U69" s="1">
        <f t="shared" ref="U69:Z69" si="32">SUM(U70:U74)</f>
        <v>1483.3</v>
      </c>
      <c r="V69" s="1">
        <f t="shared" si="32"/>
        <v>1744.9</v>
      </c>
      <c r="W69" s="1">
        <f t="shared" si="32"/>
        <v>870.5</v>
      </c>
      <c r="X69" s="1">
        <f t="shared" si="32"/>
        <v>870.5</v>
      </c>
      <c r="Y69" s="1">
        <f t="shared" si="32"/>
        <v>870.5</v>
      </c>
      <c r="Z69" s="1">
        <f t="shared" si="32"/>
        <v>870.5</v>
      </c>
      <c r="AA69" s="59">
        <f>SUM(T69:Z69)</f>
        <v>7212</v>
      </c>
      <c r="AB69" s="58">
        <v>2024</v>
      </c>
      <c r="AC69" s="120"/>
    </row>
    <row r="70" spans="1:34" s="72" customFormat="1" x14ac:dyDescent="0.3">
      <c r="A70" s="54" t="s">
        <v>18</v>
      </c>
      <c r="B70" s="54" t="s">
        <v>18</v>
      </c>
      <c r="C70" s="54" t="s">
        <v>24</v>
      </c>
      <c r="D70" s="54" t="s">
        <v>18</v>
      </c>
      <c r="E70" s="54" t="s">
        <v>21</v>
      </c>
      <c r="F70" s="54" t="s">
        <v>18</v>
      </c>
      <c r="G70" s="54" t="s">
        <v>22</v>
      </c>
      <c r="H70" s="54" t="s">
        <v>19</v>
      </c>
      <c r="I70" s="54" t="s">
        <v>24</v>
      </c>
      <c r="J70" s="54" t="s">
        <v>18</v>
      </c>
      <c r="K70" s="54" t="s">
        <v>18</v>
      </c>
      <c r="L70" s="54" t="s">
        <v>19</v>
      </c>
      <c r="M70" s="54" t="s">
        <v>19</v>
      </c>
      <c r="N70" s="54" t="s">
        <v>18</v>
      </c>
      <c r="O70" s="54" t="s">
        <v>20</v>
      </c>
      <c r="P70" s="54" t="s">
        <v>177</v>
      </c>
      <c r="Q70" s="54" t="s">
        <v>18</v>
      </c>
      <c r="R70" s="157"/>
      <c r="S70" s="55" t="s">
        <v>0</v>
      </c>
      <c r="T70" s="1">
        <v>0</v>
      </c>
      <c r="U70" s="1">
        <v>685.2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59">
        <f t="shared" ref="AA70:AA74" si="33">SUM(T70:Z70)</f>
        <v>685.2</v>
      </c>
      <c r="AB70" s="58">
        <v>2019</v>
      </c>
      <c r="AC70" s="120"/>
    </row>
    <row r="71" spans="1:34" s="72" customFormat="1" x14ac:dyDescent="0.3">
      <c r="A71" s="54" t="s">
        <v>18</v>
      </c>
      <c r="B71" s="54" t="s">
        <v>18</v>
      </c>
      <c r="C71" s="54" t="s">
        <v>24</v>
      </c>
      <c r="D71" s="54" t="s">
        <v>18</v>
      </c>
      <c r="E71" s="54" t="s">
        <v>21</v>
      </c>
      <c r="F71" s="54" t="s">
        <v>18</v>
      </c>
      <c r="G71" s="54" t="s">
        <v>22</v>
      </c>
      <c r="H71" s="54" t="s">
        <v>19</v>
      </c>
      <c r="I71" s="54" t="s">
        <v>24</v>
      </c>
      <c r="J71" s="54" t="s">
        <v>18</v>
      </c>
      <c r="K71" s="54" t="s">
        <v>18</v>
      </c>
      <c r="L71" s="54" t="s">
        <v>19</v>
      </c>
      <c r="M71" s="54" t="s">
        <v>37</v>
      </c>
      <c r="N71" s="54" t="s">
        <v>18</v>
      </c>
      <c r="O71" s="54" t="s">
        <v>20</v>
      </c>
      <c r="P71" s="54" t="s">
        <v>177</v>
      </c>
      <c r="Q71" s="54" t="s">
        <v>18</v>
      </c>
      <c r="R71" s="157"/>
      <c r="S71" s="55" t="s">
        <v>0</v>
      </c>
      <c r="T71" s="1">
        <v>0</v>
      </c>
      <c r="U71" s="1">
        <f>685.2-212.4</f>
        <v>472.80000000000007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59">
        <f t="shared" si="33"/>
        <v>472.80000000000007</v>
      </c>
      <c r="AB71" s="58">
        <v>2019</v>
      </c>
      <c r="AC71" s="120"/>
    </row>
    <row r="72" spans="1:34" s="72" customFormat="1" x14ac:dyDescent="0.3">
      <c r="A72" s="54" t="s">
        <v>18</v>
      </c>
      <c r="B72" s="54" t="s">
        <v>18</v>
      </c>
      <c r="C72" s="54" t="s">
        <v>24</v>
      </c>
      <c r="D72" s="54" t="s">
        <v>18</v>
      </c>
      <c r="E72" s="54" t="s">
        <v>21</v>
      </c>
      <c r="F72" s="54" t="s">
        <v>18</v>
      </c>
      <c r="G72" s="54" t="s">
        <v>22</v>
      </c>
      <c r="H72" s="54" t="s">
        <v>19</v>
      </c>
      <c r="I72" s="54" t="s">
        <v>24</v>
      </c>
      <c r="J72" s="54" t="s">
        <v>18</v>
      </c>
      <c r="K72" s="54" t="s">
        <v>18</v>
      </c>
      <c r="L72" s="54" t="s">
        <v>19</v>
      </c>
      <c r="M72" s="54" t="s">
        <v>19</v>
      </c>
      <c r="N72" s="54" t="s">
        <v>18</v>
      </c>
      <c r="O72" s="54" t="s">
        <v>23</v>
      </c>
      <c r="P72" s="54" t="s">
        <v>19</v>
      </c>
      <c r="Q72" s="54" t="s">
        <v>19</v>
      </c>
      <c r="R72" s="157"/>
      <c r="S72" s="55" t="s">
        <v>0</v>
      </c>
      <c r="T72" s="1">
        <v>0</v>
      </c>
      <c r="U72" s="1">
        <v>0</v>
      </c>
      <c r="V72" s="1">
        <v>1100</v>
      </c>
      <c r="W72" s="1">
        <v>0</v>
      </c>
      <c r="X72" s="1">
        <v>0</v>
      </c>
      <c r="Y72" s="1">
        <v>0</v>
      </c>
      <c r="Z72" s="1">
        <v>0</v>
      </c>
      <c r="AA72" s="59">
        <f t="shared" si="33"/>
        <v>1100</v>
      </c>
      <c r="AB72" s="58">
        <v>2020</v>
      </c>
      <c r="AC72" s="120"/>
    </row>
    <row r="73" spans="1:34" s="72" customFormat="1" x14ac:dyDescent="0.3">
      <c r="A73" s="54" t="s">
        <v>18</v>
      </c>
      <c r="B73" s="54" t="s">
        <v>18</v>
      </c>
      <c r="C73" s="54" t="s">
        <v>24</v>
      </c>
      <c r="D73" s="54" t="s">
        <v>18</v>
      </c>
      <c r="E73" s="54" t="s">
        <v>21</v>
      </c>
      <c r="F73" s="54" t="s">
        <v>18</v>
      </c>
      <c r="G73" s="54" t="s">
        <v>22</v>
      </c>
      <c r="H73" s="54" t="s">
        <v>19</v>
      </c>
      <c r="I73" s="54" t="s">
        <v>24</v>
      </c>
      <c r="J73" s="54" t="s">
        <v>18</v>
      </c>
      <c r="K73" s="54" t="s">
        <v>18</v>
      </c>
      <c r="L73" s="54" t="s">
        <v>19</v>
      </c>
      <c r="M73" s="54" t="s">
        <v>37</v>
      </c>
      <c r="N73" s="54" t="s">
        <v>18</v>
      </c>
      <c r="O73" s="54" t="s">
        <v>23</v>
      </c>
      <c r="P73" s="54" t="s">
        <v>19</v>
      </c>
      <c r="Q73" s="54" t="s">
        <v>19</v>
      </c>
      <c r="R73" s="157"/>
      <c r="S73" s="55" t="s">
        <v>0</v>
      </c>
      <c r="T73" s="1">
        <v>0</v>
      </c>
      <c r="U73" s="1">
        <v>0</v>
      </c>
      <c r="V73" s="1">
        <f>149.5-11</f>
        <v>138.5</v>
      </c>
      <c r="W73" s="1">
        <v>0</v>
      </c>
      <c r="X73" s="1">
        <v>0</v>
      </c>
      <c r="Y73" s="1">
        <v>0</v>
      </c>
      <c r="Z73" s="1">
        <v>0</v>
      </c>
      <c r="AA73" s="59">
        <f t="shared" si="33"/>
        <v>138.5</v>
      </c>
      <c r="AB73" s="58">
        <v>2020</v>
      </c>
      <c r="AC73" s="120"/>
    </row>
    <row r="74" spans="1:34" s="72" customFormat="1" x14ac:dyDescent="0.3">
      <c r="A74" s="54" t="s">
        <v>18</v>
      </c>
      <c r="B74" s="54" t="s">
        <v>18</v>
      </c>
      <c r="C74" s="54" t="s">
        <v>24</v>
      </c>
      <c r="D74" s="54" t="s">
        <v>18</v>
      </c>
      <c r="E74" s="54" t="s">
        <v>21</v>
      </c>
      <c r="F74" s="54" t="s">
        <v>18</v>
      </c>
      <c r="G74" s="54" t="s">
        <v>22</v>
      </c>
      <c r="H74" s="54" t="s">
        <v>19</v>
      </c>
      <c r="I74" s="54" t="s">
        <v>24</v>
      </c>
      <c r="J74" s="54" t="s">
        <v>18</v>
      </c>
      <c r="K74" s="54" t="s">
        <v>18</v>
      </c>
      <c r="L74" s="54" t="s">
        <v>19</v>
      </c>
      <c r="M74" s="54" t="s">
        <v>43</v>
      </c>
      <c r="N74" s="54" t="s">
        <v>43</v>
      </c>
      <c r="O74" s="54" t="s">
        <v>43</v>
      </c>
      <c r="P74" s="54" t="s">
        <v>43</v>
      </c>
      <c r="Q74" s="54" t="s">
        <v>43</v>
      </c>
      <c r="R74" s="157"/>
      <c r="S74" s="55" t="s">
        <v>0</v>
      </c>
      <c r="T74" s="1">
        <v>501.8</v>
      </c>
      <c r="U74" s="1">
        <v>325.3</v>
      </c>
      <c r="V74" s="1">
        <f>870.5-149.5-214.6</f>
        <v>506.4</v>
      </c>
      <c r="W74" s="1">
        <v>870.5</v>
      </c>
      <c r="X74" s="1">
        <v>870.5</v>
      </c>
      <c r="Y74" s="1">
        <v>870.5</v>
      </c>
      <c r="Z74" s="1">
        <v>870.5</v>
      </c>
      <c r="AA74" s="59">
        <f t="shared" si="33"/>
        <v>4815.5</v>
      </c>
      <c r="AB74" s="58">
        <v>2024</v>
      </c>
      <c r="AC74" s="120"/>
    </row>
    <row r="75" spans="1:34" s="51" customFormat="1" ht="48" customHeight="1" x14ac:dyDescent="0.3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48" t="s">
        <v>95</v>
      </c>
      <c r="S75" s="41" t="s">
        <v>38</v>
      </c>
      <c r="T75" s="2">
        <v>1</v>
      </c>
      <c r="U75" s="2">
        <v>1</v>
      </c>
      <c r="V75" s="44">
        <v>1</v>
      </c>
      <c r="W75" s="2">
        <v>1</v>
      </c>
      <c r="X75" s="2">
        <v>1</v>
      </c>
      <c r="Y75" s="2">
        <v>1</v>
      </c>
      <c r="Z75" s="2">
        <v>1</v>
      </c>
      <c r="AA75" s="45">
        <v>1</v>
      </c>
      <c r="AB75" s="41">
        <v>2024</v>
      </c>
      <c r="AC75" s="127"/>
      <c r="AD75" s="109"/>
      <c r="AE75" s="50"/>
    </row>
    <row r="76" spans="1:34" s="72" customFormat="1" x14ac:dyDescent="0.3">
      <c r="A76" s="54" t="s">
        <v>18</v>
      </c>
      <c r="B76" s="54" t="s">
        <v>18</v>
      </c>
      <c r="C76" s="54" t="s">
        <v>21</v>
      </c>
      <c r="D76" s="54" t="s">
        <v>18</v>
      </c>
      <c r="E76" s="54" t="s">
        <v>21</v>
      </c>
      <c r="F76" s="54" t="s">
        <v>18</v>
      </c>
      <c r="G76" s="54" t="s">
        <v>22</v>
      </c>
      <c r="H76" s="54" t="s">
        <v>19</v>
      </c>
      <c r="I76" s="54" t="s">
        <v>24</v>
      </c>
      <c r="J76" s="54" t="s">
        <v>18</v>
      </c>
      <c r="K76" s="54" t="s">
        <v>18</v>
      </c>
      <c r="L76" s="54" t="s">
        <v>19</v>
      </c>
      <c r="M76" s="54" t="s">
        <v>18</v>
      </c>
      <c r="N76" s="54" t="s">
        <v>18</v>
      </c>
      <c r="O76" s="54" t="s">
        <v>18</v>
      </c>
      <c r="P76" s="54" t="s">
        <v>18</v>
      </c>
      <c r="Q76" s="54" t="s">
        <v>18</v>
      </c>
      <c r="R76" s="161" t="s">
        <v>96</v>
      </c>
      <c r="S76" s="55" t="s">
        <v>0</v>
      </c>
      <c r="T76" s="1">
        <f>T77+T78+T79</f>
        <v>2096.2999999999997</v>
      </c>
      <c r="U76" s="1">
        <f t="shared" ref="U76:Z76" si="34">U77+U78+U79</f>
        <v>2084.3000000000002</v>
      </c>
      <c r="V76" s="1">
        <f t="shared" si="34"/>
        <v>3027.7999999999997</v>
      </c>
      <c r="W76" s="1">
        <f t="shared" si="34"/>
        <v>1555.3</v>
      </c>
      <c r="X76" s="1">
        <f t="shared" si="34"/>
        <v>1555.3</v>
      </c>
      <c r="Y76" s="1">
        <f t="shared" si="34"/>
        <v>1555.3</v>
      </c>
      <c r="Z76" s="1">
        <f t="shared" si="34"/>
        <v>1555.3</v>
      </c>
      <c r="AA76" s="59">
        <f>SUM(T76:Z76)</f>
        <v>13429.599999999997</v>
      </c>
      <c r="AB76" s="58">
        <v>2024</v>
      </c>
      <c r="AC76" s="120"/>
    </row>
    <row r="77" spans="1:34" s="72" customFormat="1" x14ac:dyDescent="0.3">
      <c r="A77" s="54" t="s">
        <v>18</v>
      </c>
      <c r="B77" s="54" t="s">
        <v>18</v>
      </c>
      <c r="C77" s="54" t="s">
        <v>21</v>
      </c>
      <c r="D77" s="54" t="s">
        <v>18</v>
      </c>
      <c r="E77" s="54" t="s">
        <v>21</v>
      </c>
      <c r="F77" s="54" t="s">
        <v>18</v>
      </c>
      <c r="G77" s="54" t="s">
        <v>22</v>
      </c>
      <c r="H77" s="54" t="s">
        <v>19</v>
      </c>
      <c r="I77" s="54" t="s">
        <v>24</v>
      </c>
      <c r="J77" s="54" t="s">
        <v>18</v>
      </c>
      <c r="K77" s="54" t="s">
        <v>18</v>
      </c>
      <c r="L77" s="54" t="s">
        <v>19</v>
      </c>
      <c r="M77" s="54" t="s">
        <v>19</v>
      </c>
      <c r="N77" s="54" t="s">
        <v>18</v>
      </c>
      <c r="O77" s="54" t="s">
        <v>23</v>
      </c>
      <c r="P77" s="54" t="s">
        <v>19</v>
      </c>
      <c r="Q77" s="54" t="s">
        <v>20</v>
      </c>
      <c r="R77" s="162"/>
      <c r="S77" s="55" t="s">
        <v>0</v>
      </c>
      <c r="T77" s="1">
        <v>0</v>
      </c>
      <c r="U77" s="1">
        <v>0</v>
      </c>
      <c r="V77" s="1">
        <v>1100</v>
      </c>
      <c r="W77" s="1">
        <v>0</v>
      </c>
      <c r="X77" s="1">
        <v>0</v>
      </c>
      <c r="Y77" s="1">
        <v>0</v>
      </c>
      <c r="Z77" s="1">
        <v>0</v>
      </c>
      <c r="AA77" s="59">
        <f t="shared" ref="AA77:AA79" si="35">SUM(T77:Z77)</f>
        <v>1100</v>
      </c>
      <c r="AB77" s="58">
        <v>2020</v>
      </c>
      <c r="AC77" s="120"/>
    </row>
    <row r="78" spans="1:34" s="72" customFormat="1" x14ac:dyDescent="0.3">
      <c r="A78" s="54" t="s">
        <v>18</v>
      </c>
      <c r="B78" s="54" t="s">
        <v>18</v>
      </c>
      <c r="C78" s="54" t="s">
        <v>21</v>
      </c>
      <c r="D78" s="54" t="s">
        <v>18</v>
      </c>
      <c r="E78" s="54" t="s">
        <v>21</v>
      </c>
      <c r="F78" s="54" t="s">
        <v>18</v>
      </c>
      <c r="G78" s="54" t="s">
        <v>22</v>
      </c>
      <c r="H78" s="54" t="s">
        <v>19</v>
      </c>
      <c r="I78" s="54" t="s">
        <v>24</v>
      </c>
      <c r="J78" s="54" t="s">
        <v>18</v>
      </c>
      <c r="K78" s="54" t="s">
        <v>18</v>
      </c>
      <c r="L78" s="54" t="s">
        <v>19</v>
      </c>
      <c r="M78" s="54" t="s">
        <v>37</v>
      </c>
      <c r="N78" s="54" t="s">
        <v>18</v>
      </c>
      <c r="O78" s="54" t="s">
        <v>23</v>
      </c>
      <c r="P78" s="54" t="s">
        <v>19</v>
      </c>
      <c r="Q78" s="54" t="s">
        <v>20</v>
      </c>
      <c r="R78" s="162"/>
      <c r="S78" s="55" t="s">
        <v>0</v>
      </c>
      <c r="T78" s="1">
        <v>0</v>
      </c>
      <c r="U78" s="1">
        <v>0</v>
      </c>
      <c r="V78" s="1">
        <f>111-71.5</f>
        <v>39.5</v>
      </c>
      <c r="W78" s="1">
        <v>0</v>
      </c>
      <c r="X78" s="1">
        <v>0</v>
      </c>
      <c r="Y78" s="1">
        <v>0</v>
      </c>
      <c r="Z78" s="1">
        <v>0</v>
      </c>
      <c r="AA78" s="59">
        <f t="shared" si="35"/>
        <v>39.5</v>
      </c>
      <c r="AB78" s="58">
        <v>2020</v>
      </c>
      <c r="AC78" s="120"/>
    </row>
    <row r="79" spans="1:34" s="72" customFormat="1" x14ac:dyDescent="0.3">
      <c r="A79" s="54" t="s">
        <v>18</v>
      </c>
      <c r="B79" s="54" t="s">
        <v>18</v>
      </c>
      <c r="C79" s="54" t="s">
        <v>21</v>
      </c>
      <c r="D79" s="54" t="s">
        <v>18</v>
      </c>
      <c r="E79" s="54" t="s">
        <v>21</v>
      </c>
      <c r="F79" s="54" t="s">
        <v>18</v>
      </c>
      <c r="G79" s="54" t="s">
        <v>22</v>
      </c>
      <c r="H79" s="54" t="s">
        <v>19</v>
      </c>
      <c r="I79" s="54" t="s">
        <v>24</v>
      </c>
      <c r="J79" s="54" t="s">
        <v>18</v>
      </c>
      <c r="K79" s="54" t="s">
        <v>18</v>
      </c>
      <c r="L79" s="54" t="s">
        <v>19</v>
      </c>
      <c r="M79" s="54" t="s">
        <v>43</v>
      </c>
      <c r="N79" s="54" t="s">
        <v>43</v>
      </c>
      <c r="O79" s="54" t="s">
        <v>43</v>
      </c>
      <c r="P79" s="54" t="s">
        <v>43</v>
      </c>
      <c r="Q79" s="54" t="s">
        <v>43</v>
      </c>
      <c r="R79" s="163"/>
      <c r="S79" s="55" t="s">
        <v>0</v>
      </c>
      <c r="T79" s="1">
        <f>3665-832.4-710-26.3</f>
        <v>2096.2999999999997</v>
      </c>
      <c r="U79" s="1">
        <f>3624.7-120.3-282.1-1110.8-27.2</f>
        <v>2084.3000000000002</v>
      </c>
      <c r="V79" s="1">
        <f>3624.7-553-111-1072.4</f>
        <v>1888.2999999999997</v>
      </c>
      <c r="W79" s="1">
        <v>1555.3</v>
      </c>
      <c r="X79" s="1">
        <v>1555.3</v>
      </c>
      <c r="Y79" s="1">
        <v>1555.3</v>
      </c>
      <c r="Z79" s="1">
        <v>1555.3</v>
      </c>
      <c r="AA79" s="59">
        <f t="shared" si="35"/>
        <v>12290.099999999999</v>
      </c>
      <c r="AB79" s="58">
        <v>2024</v>
      </c>
      <c r="AC79" s="120"/>
    </row>
    <row r="80" spans="1:34" s="72" customFormat="1" ht="48" customHeight="1" x14ac:dyDescent="0.3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8" t="s">
        <v>97</v>
      </c>
      <c r="S80" s="41" t="s">
        <v>38</v>
      </c>
      <c r="T80" s="44">
        <v>5</v>
      </c>
      <c r="U80" s="44">
        <v>5</v>
      </c>
      <c r="V80" s="44">
        <v>5</v>
      </c>
      <c r="W80" s="44">
        <v>5</v>
      </c>
      <c r="X80" s="44">
        <v>5</v>
      </c>
      <c r="Y80" s="44">
        <v>5</v>
      </c>
      <c r="Z80" s="44">
        <v>5</v>
      </c>
      <c r="AA80" s="49">
        <v>5</v>
      </c>
      <c r="AB80" s="41">
        <v>2024</v>
      </c>
      <c r="AC80" s="123"/>
      <c r="AD80" s="109"/>
    </row>
    <row r="81" spans="1:30" s="72" customFormat="1" ht="31.2" x14ac:dyDescent="0.3">
      <c r="A81" s="54"/>
      <c r="B81" s="54"/>
      <c r="C81" s="54"/>
      <c r="D81" s="54" t="s">
        <v>18</v>
      </c>
      <c r="E81" s="54" t="s">
        <v>21</v>
      </c>
      <c r="F81" s="54" t="s">
        <v>18</v>
      </c>
      <c r="G81" s="54" t="s">
        <v>22</v>
      </c>
      <c r="H81" s="54" t="s">
        <v>19</v>
      </c>
      <c r="I81" s="54" t="s">
        <v>24</v>
      </c>
      <c r="J81" s="54" t="s">
        <v>18</v>
      </c>
      <c r="K81" s="54" t="s">
        <v>18</v>
      </c>
      <c r="L81" s="54" t="s">
        <v>19</v>
      </c>
      <c r="M81" s="54" t="s">
        <v>43</v>
      </c>
      <c r="N81" s="54" t="s">
        <v>43</v>
      </c>
      <c r="O81" s="54" t="s">
        <v>43</v>
      </c>
      <c r="P81" s="54" t="s">
        <v>43</v>
      </c>
      <c r="Q81" s="54" t="s">
        <v>43</v>
      </c>
      <c r="R81" s="68" t="s">
        <v>98</v>
      </c>
      <c r="S81" s="58" t="s">
        <v>0</v>
      </c>
      <c r="T81" s="59">
        <f t="shared" ref="T81:Y81" si="36">T85+T89+T93+T97+T101</f>
        <v>4566.3999999999996</v>
      </c>
      <c r="U81" s="59">
        <f>U85+U89+U93+U97+U101</f>
        <v>7525.4000000000005</v>
      </c>
      <c r="V81" s="59">
        <f t="shared" si="36"/>
        <v>8494.6</v>
      </c>
      <c r="W81" s="59">
        <f t="shared" si="36"/>
        <v>6400</v>
      </c>
      <c r="X81" s="59">
        <f t="shared" si="36"/>
        <v>6400</v>
      </c>
      <c r="Y81" s="59">
        <f t="shared" si="36"/>
        <v>6400</v>
      </c>
      <c r="Z81" s="59">
        <f t="shared" ref="Z81" si="37">Z85+Z89+Z93+Z97+Z101</f>
        <v>6400</v>
      </c>
      <c r="AA81" s="59">
        <f>SUM(T81:Z81)</f>
        <v>46186.400000000001</v>
      </c>
      <c r="AB81" s="58">
        <v>2024</v>
      </c>
      <c r="AC81" s="120"/>
    </row>
    <row r="82" spans="1:30" s="72" customFormat="1" ht="46.8" x14ac:dyDescent="0.3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61" t="s">
        <v>99</v>
      </c>
      <c r="S82" s="142" t="s">
        <v>38</v>
      </c>
      <c r="T82" s="44">
        <f t="shared" ref="T82:Y83" si="38">T86+T90+T94+T98</f>
        <v>65</v>
      </c>
      <c r="U82" s="44">
        <f t="shared" si="38"/>
        <v>198</v>
      </c>
      <c r="V82" s="44">
        <f t="shared" si="38"/>
        <v>310</v>
      </c>
      <c r="W82" s="44">
        <f t="shared" si="38"/>
        <v>118</v>
      </c>
      <c r="X82" s="44">
        <f t="shared" si="38"/>
        <v>117</v>
      </c>
      <c r="Y82" s="44">
        <f t="shared" si="38"/>
        <v>117</v>
      </c>
      <c r="Z82" s="44">
        <f t="shared" ref="Z82" si="39">Z86+Z90+Z94+Z98</f>
        <v>117</v>
      </c>
      <c r="AA82" s="49">
        <f>SUM(T82:Z82)</f>
        <v>1042</v>
      </c>
      <c r="AB82" s="142">
        <v>2024</v>
      </c>
      <c r="AC82" s="33"/>
    </row>
    <row r="83" spans="1:30" s="72" customFormat="1" ht="31.2" x14ac:dyDescent="0.3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61" t="s">
        <v>100</v>
      </c>
      <c r="S83" s="142" t="s">
        <v>38</v>
      </c>
      <c r="T83" s="44">
        <f t="shared" si="38"/>
        <v>16</v>
      </c>
      <c r="U83" s="44">
        <f t="shared" si="38"/>
        <v>16</v>
      </c>
      <c r="V83" s="44">
        <f t="shared" si="38"/>
        <v>19</v>
      </c>
      <c r="W83" s="44">
        <f t="shared" si="38"/>
        <v>18</v>
      </c>
      <c r="X83" s="44">
        <f t="shared" si="38"/>
        <v>18</v>
      </c>
      <c r="Y83" s="44">
        <f t="shared" si="38"/>
        <v>18</v>
      </c>
      <c r="Z83" s="44">
        <f t="shared" ref="Z83" si="40">Z87+Z91+Z95+Z99</f>
        <v>18</v>
      </c>
      <c r="AA83" s="49">
        <v>17</v>
      </c>
      <c r="AB83" s="142">
        <v>2024</v>
      </c>
      <c r="AC83" s="33"/>
    </row>
    <row r="84" spans="1:30" ht="46.95" customHeight="1" x14ac:dyDescent="0.3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61" t="s">
        <v>324</v>
      </c>
      <c r="S84" s="142" t="s">
        <v>38</v>
      </c>
      <c r="T84" s="44">
        <f>T88+T92+T96+T102+T100</f>
        <v>25</v>
      </c>
      <c r="U84" s="44">
        <f>U88+U92+U96+U102+U100</f>
        <v>77</v>
      </c>
      <c r="V84" s="44">
        <f>V88+V92+V96+V102+V100</f>
        <v>74</v>
      </c>
      <c r="W84" s="44">
        <f t="shared" ref="W84:Y84" si="41">W88+W92+W96+W102+W100</f>
        <v>74</v>
      </c>
      <c r="X84" s="44">
        <f t="shared" si="41"/>
        <v>74</v>
      </c>
      <c r="Y84" s="44">
        <f t="shared" si="41"/>
        <v>74</v>
      </c>
      <c r="Z84" s="44">
        <f t="shared" ref="Z84" si="42">Z88+Z92+Z96+Z102+Z100</f>
        <v>74</v>
      </c>
      <c r="AA84" s="49">
        <f>SUM(T84:Z84)</f>
        <v>472</v>
      </c>
      <c r="AB84" s="142">
        <v>2024</v>
      </c>
      <c r="AC84" s="123"/>
      <c r="AD84" s="102"/>
    </row>
    <row r="85" spans="1:30" ht="31.2" x14ac:dyDescent="0.3">
      <c r="A85" s="54" t="s">
        <v>18</v>
      </c>
      <c r="B85" s="54" t="s">
        <v>18</v>
      </c>
      <c r="C85" s="54" t="s">
        <v>22</v>
      </c>
      <c r="D85" s="54" t="s">
        <v>18</v>
      </c>
      <c r="E85" s="54" t="s">
        <v>21</v>
      </c>
      <c r="F85" s="54" t="s">
        <v>18</v>
      </c>
      <c r="G85" s="54" t="s">
        <v>22</v>
      </c>
      <c r="H85" s="54" t="s">
        <v>19</v>
      </c>
      <c r="I85" s="54" t="s">
        <v>24</v>
      </c>
      <c r="J85" s="54" t="s">
        <v>18</v>
      </c>
      <c r="K85" s="54" t="s">
        <v>18</v>
      </c>
      <c r="L85" s="54" t="s">
        <v>19</v>
      </c>
      <c r="M85" s="54" t="s">
        <v>43</v>
      </c>
      <c r="N85" s="54" t="s">
        <v>43</v>
      </c>
      <c r="O85" s="54" t="s">
        <v>43</v>
      </c>
      <c r="P85" s="54" t="s">
        <v>43</v>
      </c>
      <c r="Q85" s="54" t="s">
        <v>43</v>
      </c>
      <c r="R85" s="69" t="s">
        <v>101</v>
      </c>
      <c r="S85" s="55" t="s">
        <v>0</v>
      </c>
      <c r="T85" s="1">
        <f>1780.9-223.4+140-15.2</f>
        <v>1682.3</v>
      </c>
      <c r="U85" s="1">
        <f>1650-73+745.2</f>
        <v>2322.1999999999998</v>
      </c>
      <c r="V85" s="1">
        <v>1650</v>
      </c>
      <c r="W85" s="1">
        <v>1500</v>
      </c>
      <c r="X85" s="1">
        <v>1500</v>
      </c>
      <c r="Y85" s="1">
        <v>1500</v>
      </c>
      <c r="Z85" s="1">
        <v>1500</v>
      </c>
      <c r="AA85" s="59">
        <f>SUM(T85:Z85)</f>
        <v>11654.5</v>
      </c>
      <c r="AB85" s="58">
        <v>2024</v>
      </c>
      <c r="AC85" s="120"/>
    </row>
    <row r="86" spans="1:30" ht="46.2" customHeight="1" x14ac:dyDescent="0.3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61" t="s">
        <v>102</v>
      </c>
      <c r="S86" s="142" t="s">
        <v>38</v>
      </c>
      <c r="T86" s="2">
        <v>33</v>
      </c>
      <c r="U86" s="2">
        <v>38</v>
      </c>
      <c r="V86" s="2">
        <v>20</v>
      </c>
      <c r="W86" s="2">
        <v>20</v>
      </c>
      <c r="X86" s="2">
        <v>20</v>
      </c>
      <c r="Y86" s="2">
        <v>20</v>
      </c>
      <c r="Z86" s="2">
        <v>20</v>
      </c>
      <c r="AA86" s="49">
        <f>SUM(T86:Z86)</f>
        <v>171</v>
      </c>
      <c r="AB86" s="41">
        <v>2024</v>
      </c>
      <c r="AC86" s="33"/>
    </row>
    <row r="87" spans="1:30" ht="46.8" x14ac:dyDescent="0.3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61" t="s">
        <v>103</v>
      </c>
      <c r="S87" s="142" t="s">
        <v>38</v>
      </c>
      <c r="T87" s="2">
        <v>4</v>
      </c>
      <c r="U87" s="2">
        <v>4</v>
      </c>
      <c r="V87" s="2">
        <v>4</v>
      </c>
      <c r="W87" s="2">
        <v>4</v>
      </c>
      <c r="X87" s="2">
        <v>4</v>
      </c>
      <c r="Y87" s="2">
        <v>4</v>
      </c>
      <c r="Z87" s="2">
        <v>4</v>
      </c>
      <c r="AA87" s="45">
        <v>4</v>
      </c>
      <c r="AB87" s="41">
        <v>2024</v>
      </c>
      <c r="AC87" s="33"/>
    </row>
    <row r="88" spans="1:30" ht="62.4" x14ac:dyDescent="0.3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61" t="s">
        <v>325</v>
      </c>
      <c r="S88" s="142" t="s">
        <v>38</v>
      </c>
      <c r="T88" s="44">
        <v>0</v>
      </c>
      <c r="U88" s="44">
        <v>29</v>
      </c>
      <c r="V88" s="44">
        <v>25</v>
      </c>
      <c r="W88" s="44">
        <v>26</v>
      </c>
      <c r="X88" s="44">
        <v>26</v>
      </c>
      <c r="Y88" s="44">
        <v>26</v>
      </c>
      <c r="Z88" s="44">
        <v>26</v>
      </c>
      <c r="AA88" s="49">
        <f>SUM(T88:Z88)</f>
        <v>158</v>
      </c>
      <c r="AB88" s="41">
        <v>2024</v>
      </c>
      <c r="AC88" s="123"/>
      <c r="AD88" s="102"/>
    </row>
    <row r="89" spans="1:30" ht="31.2" x14ac:dyDescent="0.3">
      <c r="A89" s="54" t="s">
        <v>18</v>
      </c>
      <c r="B89" s="54" t="s">
        <v>18</v>
      </c>
      <c r="C89" s="54" t="s">
        <v>24</v>
      </c>
      <c r="D89" s="54" t="s">
        <v>18</v>
      </c>
      <c r="E89" s="54" t="s">
        <v>21</v>
      </c>
      <c r="F89" s="54" t="s">
        <v>18</v>
      </c>
      <c r="G89" s="54" t="s">
        <v>22</v>
      </c>
      <c r="H89" s="54" t="s">
        <v>19</v>
      </c>
      <c r="I89" s="54" t="s">
        <v>24</v>
      </c>
      <c r="J89" s="54" t="s">
        <v>18</v>
      </c>
      <c r="K89" s="54" t="s">
        <v>18</v>
      </c>
      <c r="L89" s="54" t="s">
        <v>19</v>
      </c>
      <c r="M89" s="54" t="s">
        <v>43</v>
      </c>
      <c r="N89" s="54" t="s">
        <v>43</v>
      </c>
      <c r="O89" s="54" t="s">
        <v>43</v>
      </c>
      <c r="P89" s="54" t="s">
        <v>43</v>
      </c>
      <c r="Q89" s="54" t="s">
        <v>43</v>
      </c>
      <c r="R89" s="69" t="s">
        <v>104</v>
      </c>
      <c r="S89" s="55" t="s">
        <v>0</v>
      </c>
      <c r="T89" s="1">
        <f>1051.4-28.4-48.1</f>
        <v>974.90000000000009</v>
      </c>
      <c r="U89" s="1">
        <f>1450-14.6</f>
        <v>1435.4</v>
      </c>
      <c r="V89" s="1">
        <f>1450+1054.3-450.6</f>
        <v>2053.7000000000003</v>
      </c>
      <c r="W89" s="1">
        <v>1500</v>
      </c>
      <c r="X89" s="1">
        <v>1500</v>
      </c>
      <c r="Y89" s="1">
        <v>1500</v>
      </c>
      <c r="Z89" s="1">
        <v>1500</v>
      </c>
      <c r="AA89" s="59">
        <f>SUM(T89:Z89)</f>
        <v>10464</v>
      </c>
      <c r="AB89" s="58">
        <v>2024</v>
      </c>
      <c r="AC89" s="119"/>
      <c r="AD89" s="109"/>
    </row>
    <row r="90" spans="1:30" ht="48" customHeight="1" x14ac:dyDescent="0.3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61" t="s">
        <v>267</v>
      </c>
      <c r="S90" s="142" t="s">
        <v>38</v>
      </c>
      <c r="T90" s="44">
        <v>4</v>
      </c>
      <c r="U90" s="44">
        <v>58</v>
      </c>
      <c r="V90" s="44">
        <v>0</v>
      </c>
      <c r="W90" s="44">
        <v>8</v>
      </c>
      <c r="X90" s="44">
        <v>8</v>
      </c>
      <c r="Y90" s="44">
        <v>8</v>
      </c>
      <c r="Z90" s="44">
        <v>8</v>
      </c>
      <c r="AA90" s="49">
        <f>SUM(T90:Z90)</f>
        <v>94</v>
      </c>
      <c r="AB90" s="41">
        <v>2024</v>
      </c>
      <c r="AC90" s="33"/>
    </row>
    <row r="91" spans="1:30" s="8" customFormat="1" ht="46.8" x14ac:dyDescent="0.3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61" t="s">
        <v>268</v>
      </c>
      <c r="S91" s="142" t="s">
        <v>38</v>
      </c>
      <c r="T91" s="44">
        <v>5</v>
      </c>
      <c r="U91" s="44">
        <v>5</v>
      </c>
      <c r="V91" s="44">
        <v>6</v>
      </c>
      <c r="W91" s="44">
        <v>6</v>
      </c>
      <c r="X91" s="44">
        <v>6</v>
      </c>
      <c r="Y91" s="44">
        <v>6</v>
      </c>
      <c r="Z91" s="44">
        <v>6</v>
      </c>
      <c r="AA91" s="49">
        <v>6</v>
      </c>
      <c r="AB91" s="41">
        <v>2024</v>
      </c>
      <c r="AC91" s="123"/>
      <c r="AD91" s="102"/>
    </row>
    <row r="92" spans="1:30" ht="62.4" x14ac:dyDescent="0.3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1" t="s">
        <v>326</v>
      </c>
      <c r="S92" s="142" t="s">
        <v>38</v>
      </c>
      <c r="T92" s="44">
        <v>0</v>
      </c>
      <c r="U92" s="44">
        <v>16</v>
      </c>
      <c r="V92" s="44">
        <v>16</v>
      </c>
      <c r="W92" s="44">
        <v>14</v>
      </c>
      <c r="X92" s="44">
        <v>14</v>
      </c>
      <c r="Y92" s="44">
        <v>14</v>
      </c>
      <c r="Z92" s="44">
        <v>14</v>
      </c>
      <c r="AA92" s="49">
        <f>SUM(T92:Z92)</f>
        <v>88</v>
      </c>
      <c r="AB92" s="41">
        <v>2024</v>
      </c>
      <c r="AC92" s="123"/>
      <c r="AD92" s="102"/>
    </row>
    <row r="93" spans="1:30" ht="31.2" x14ac:dyDescent="0.3">
      <c r="A93" s="54" t="s">
        <v>18</v>
      </c>
      <c r="B93" s="54" t="s">
        <v>18</v>
      </c>
      <c r="C93" s="54" t="s">
        <v>21</v>
      </c>
      <c r="D93" s="54" t="s">
        <v>18</v>
      </c>
      <c r="E93" s="54" t="s">
        <v>21</v>
      </c>
      <c r="F93" s="54" t="s">
        <v>18</v>
      </c>
      <c r="G93" s="54" t="s">
        <v>22</v>
      </c>
      <c r="H93" s="54" t="s">
        <v>19</v>
      </c>
      <c r="I93" s="54" t="s">
        <v>24</v>
      </c>
      <c r="J93" s="54" t="s">
        <v>18</v>
      </c>
      <c r="K93" s="54" t="s">
        <v>18</v>
      </c>
      <c r="L93" s="54" t="s">
        <v>19</v>
      </c>
      <c r="M93" s="54" t="s">
        <v>43</v>
      </c>
      <c r="N93" s="54" t="s">
        <v>43</v>
      </c>
      <c r="O93" s="54" t="s">
        <v>43</v>
      </c>
      <c r="P93" s="54" t="s">
        <v>43</v>
      </c>
      <c r="Q93" s="54" t="s">
        <v>43</v>
      </c>
      <c r="R93" s="69" t="s">
        <v>104</v>
      </c>
      <c r="S93" s="55" t="s">
        <v>0</v>
      </c>
      <c r="T93" s="1">
        <f>1351.9-396.7-310.9-34</f>
        <v>610.30000000000007</v>
      </c>
      <c r="U93" s="1">
        <f>1750-198.6-29.9</f>
        <v>1521.5</v>
      </c>
      <c r="V93" s="1">
        <f>1749.6+553-113</f>
        <v>2189.6</v>
      </c>
      <c r="W93" s="1">
        <v>1500</v>
      </c>
      <c r="X93" s="1">
        <v>1500</v>
      </c>
      <c r="Y93" s="1">
        <v>1500</v>
      </c>
      <c r="Z93" s="1">
        <v>1500</v>
      </c>
      <c r="AA93" s="59">
        <f>SUM(T93:Z93)</f>
        <v>10321.4</v>
      </c>
      <c r="AB93" s="58">
        <v>2024</v>
      </c>
      <c r="AC93" s="119"/>
      <c r="AD93" s="102"/>
    </row>
    <row r="94" spans="1:30" ht="46.8" x14ac:dyDescent="0.3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61" t="s">
        <v>269</v>
      </c>
      <c r="S94" s="142" t="s">
        <v>38</v>
      </c>
      <c r="T94" s="2">
        <v>21</v>
      </c>
      <c r="U94" s="2">
        <v>95</v>
      </c>
      <c r="V94" s="2">
        <v>220</v>
      </c>
      <c r="W94" s="2">
        <v>20</v>
      </c>
      <c r="X94" s="2">
        <v>19</v>
      </c>
      <c r="Y94" s="2">
        <v>19</v>
      </c>
      <c r="Z94" s="2">
        <v>19</v>
      </c>
      <c r="AA94" s="49">
        <f>SUM(T94:Z94)</f>
        <v>413</v>
      </c>
      <c r="AB94" s="41">
        <v>2024</v>
      </c>
      <c r="AC94" s="123"/>
      <c r="AD94" s="102"/>
    </row>
    <row r="95" spans="1:30" ht="46.8" x14ac:dyDescent="0.3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61" t="s">
        <v>270</v>
      </c>
      <c r="S95" s="142" t="s">
        <v>38</v>
      </c>
      <c r="T95" s="2">
        <v>4</v>
      </c>
      <c r="U95" s="2">
        <v>5</v>
      </c>
      <c r="V95" s="2">
        <v>5</v>
      </c>
      <c r="W95" s="2">
        <v>5</v>
      </c>
      <c r="X95" s="2">
        <v>5</v>
      </c>
      <c r="Y95" s="2">
        <v>5</v>
      </c>
      <c r="Z95" s="2">
        <v>5</v>
      </c>
      <c r="AA95" s="45">
        <v>5</v>
      </c>
      <c r="AB95" s="41">
        <v>2024</v>
      </c>
      <c r="AC95" s="127"/>
      <c r="AD95" s="102"/>
    </row>
    <row r="96" spans="1:30" ht="62.4" x14ac:dyDescent="0.3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61" t="s">
        <v>327</v>
      </c>
      <c r="S96" s="142" t="s">
        <v>38</v>
      </c>
      <c r="T96" s="44">
        <v>0</v>
      </c>
      <c r="U96" s="44">
        <v>16</v>
      </c>
      <c r="V96" s="44">
        <v>15</v>
      </c>
      <c r="W96" s="44">
        <v>22</v>
      </c>
      <c r="X96" s="44">
        <v>22</v>
      </c>
      <c r="Y96" s="44">
        <v>22</v>
      </c>
      <c r="Z96" s="44">
        <v>22</v>
      </c>
      <c r="AA96" s="49">
        <f>SUM(T96:Z96)</f>
        <v>119</v>
      </c>
      <c r="AB96" s="41">
        <v>2024</v>
      </c>
      <c r="AC96" s="123"/>
      <c r="AD96" s="102"/>
    </row>
    <row r="97" spans="1:31" ht="31.2" x14ac:dyDescent="0.3">
      <c r="A97" s="54" t="s">
        <v>18</v>
      </c>
      <c r="B97" s="54" t="s">
        <v>18</v>
      </c>
      <c r="C97" s="54" t="s">
        <v>25</v>
      </c>
      <c r="D97" s="54" t="s">
        <v>18</v>
      </c>
      <c r="E97" s="54" t="s">
        <v>21</v>
      </c>
      <c r="F97" s="54" t="s">
        <v>18</v>
      </c>
      <c r="G97" s="54" t="s">
        <v>22</v>
      </c>
      <c r="H97" s="54" t="s">
        <v>19</v>
      </c>
      <c r="I97" s="54" t="s">
        <v>24</v>
      </c>
      <c r="J97" s="54" t="s">
        <v>18</v>
      </c>
      <c r="K97" s="54" t="s">
        <v>18</v>
      </c>
      <c r="L97" s="54" t="s">
        <v>19</v>
      </c>
      <c r="M97" s="54" t="s">
        <v>43</v>
      </c>
      <c r="N97" s="54" t="s">
        <v>43</v>
      </c>
      <c r="O97" s="54" t="s">
        <v>43</v>
      </c>
      <c r="P97" s="54" t="s">
        <v>43</v>
      </c>
      <c r="Q97" s="54" t="s">
        <v>43</v>
      </c>
      <c r="R97" s="69" t="s">
        <v>101</v>
      </c>
      <c r="S97" s="55" t="s">
        <v>0</v>
      </c>
      <c r="T97" s="1">
        <f>4141.3-300-1489-672.7-86.2-669.2</f>
        <v>924.2</v>
      </c>
      <c r="U97" s="1">
        <f>2950-369.3-0.6-50-20-366-142.8</f>
        <v>2001.3</v>
      </c>
      <c r="V97" s="1">
        <f>2950+153.2-3.3-641.8</f>
        <v>2458.0999999999995</v>
      </c>
      <c r="W97" s="1">
        <v>1900</v>
      </c>
      <c r="X97" s="1">
        <v>1900</v>
      </c>
      <c r="Y97" s="1">
        <v>1900</v>
      </c>
      <c r="Z97" s="1">
        <v>1900</v>
      </c>
      <c r="AA97" s="59">
        <f>SUM(T97:Z97)</f>
        <v>12983.599999999999</v>
      </c>
      <c r="AB97" s="58">
        <v>2024</v>
      </c>
      <c r="AC97" s="120"/>
    </row>
    <row r="98" spans="1:31" ht="46.95" customHeight="1" x14ac:dyDescent="0.3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40" t="s">
        <v>271</v>
      </c>
      <c r="S98" s="142" t="s">
        <v>38</v>
      </c>
      <c r="T98" s="44">
        <v>7</v>
      </c>
      <c r="U98" s="44">
        <v>7</v>
      </c>
      <c r="V98" s="44">
        <v>70</v>
      </c>
      <c r="W98" s="44">
        <v>70</v>
      </c>
      <c r="X98" s="44">
        <v>70</v>
      </c>
      <c r="Y98" s="44">
        <v>70</v>
      </c>
      <c r="Z98" s="44">
        <v>70</v>
      </c>
      <c r="AA98" s="49">
        <f>SUM(T98:Z98)</f>
        <v>364</v>
      </c>
      <c r="AB98" s="41">
        <v>2024</v>
      </c>
      <c r="AC98" s="33"/>
    </row>
    <row r="99" spans="1:31" ht="46.8" x14ac:dyDescent="0.3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40" t="s">
        <v>272</v>
      </c>
      <c r="S99" s="41" t="s">
        <v>38</v>
      </c>
      <c r="T99" s="44">
        <v>3</v>
      </c>
      <c r="U99" s="44">
        <v>2</v>
      </c>
      <c r="V99" s="44">
        <v>4</v>
      </c>
      <c r="W99" s="44">
        <v>3</v>
      </c>
      <c r="X99" s="44">
        <v>3</v>
      </c>
      <c r="Y99" s="44">
        <v>3</v>
      </c>
      <c r="Z99" s="44">
        <v>3</v>
      </c>
      <c r="AA99" s="49">
        <v>3</v>
      </c>
      <c r="AB99" s="41">
        <v>2024</v>
      </c>
      <c r="AC99" s="123"/>
      <c r="AD99" s="102"/>
    </row>
    <row r="100" spans="1:31" ht="62.4" x14ac:dyDescent="0.3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61" t="s">
        <v>328</v>
      </c>
      <c r="S100" s="142" t="s">
        <v>38</v>
      </c>
      <c r="T100" s="44">
        <v>0</v>
      </c>
      <c r="U100" s="44">
        <v>15</v>
      </c>
      <c r="V100" s="44">
        <v>2</v>
      </c>
      <c r="W100" s="44">
        <v>12</v>
      </c>
      <c r="X100" s="44">
        <v>12</v>
      </c>
      <c r="Y100" s="44">
        <v>12</v>
      </c>
      <c r="Z100" s="44">
        <v>12</v>
      </c>
      <c r="AA100" s="49">
        <f>SUM(T100:Z100)</f>
        <v>65</v>
      </c>
      <c r="AB100" s="41">
        <v>2024</v>
      </c>
      <c r="AC100" s="123"/>
      <c r="AD100" s="102"/>
    </row>
    <row r="101" spans="1:31" ht="31.2" x14ac:dyDescent="0.3">
      <c r="A101" s="54" t="s">
        <v>18</v>
      </c>
      <c r="B101" s="54" t="s">
        <v>19</v>
      </c>
      <c r="C101" s="54" t="s">
        <v>24</v>
      </c>
      <c r="D101" s="54" t="s">
        <v>18</v>
      </c>
      <c r="E101" s="54" t="s">
        <v>21</v>
      </c>
      <c r="F101" s="54" t="s">
        <v>18</v>
      </c>
      <c r="G101" s="54" t="s">
        <v>22</v>
      </c>
      <c r="H101" s="54" t="s">
        <v>19</v>
      </c>
      <c r="I101" s="54" t="s">
        <v>24</v>
      </c>
      <c r="J101" s="54" t="s">
        <v>18</v>
      </c>
      <c r="K101" s="54" t="s">
        <v>18</v>
      </c>
      <c r="L101" s="54" t="s">
        <v>19</v>
      </c>
      <c r="M101" s="54" t="s">
        <v>43</v>
      </c>
      <c r="N101" s="54" t="s">
        <v>43</v>
      </c>
      <c r="O101" s="54" t="s">
        <v>43</v>
      </c>
      <c r="P101" s="54" t="s">
        <v>43</v>
      </c>
      <c r="Q101" s="54" t="s">
        <v>43</v>
      </c>
      <c r="R101" s="69" t="s">
        <v>101</v>
      </c>
      <c r="S101" s="55" t="s">
        <v>0</v>
      </c>
      <c r="T101" s="1">
        <f>236-236+500-125.3</f>
        <v>374.7</v>
      </c>
      <c r="U101" s="1">
        <f>0+229+48-32</f>
        <v>245</v>
      </c>
      <c r="V101" s="1">
        <f>0+150-6.8</f>
        <v>143.19999999999999</v>
      </c>
      <c r="W101" s="1">
        <v>0</v>
      </c>
      <c r="X101" s="1">
        <v>0</v>
      </c>
      <c r="Y101" s="1">
        <v>0</v>
      </c>
      <c r="Z101" s="1">
        <v>0</v>
      </c>
      <c r="AA101" s="59">
        <f>SUM(T101:Z101)</f>
        <v>762.90000000000009</v>
      </c>
      <c r="AB101" s="58">
        <v>2019</v>
      </c>
      <c r="AC101" s="123"/>
      <c r="AD101" s="102"/>
    </row>
    <row r="102" spans="1:31" ht="48.6" customHeight="1" x14ac:dyDescent="0.3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61" t="s">
        <v>331</v>
      </c>
      <c r="S102" s="142" t="s">
        <v>38</v>
      </c>
      <c r="T102" s="44">
        <v>25</v>
      </c>
      <c r="U102" s="2">
        <v>1</v>
      </c>
      <c r="V102" s="2">
        <v>16</v>
      </c>
      <c r="W102" s="2">
        <v>0</v>
      </c>
      <c r="X102" s="2">
        <v>0</v>
      </c>
      <c r="Y102" s="2">
        <v>0</v>
      </c>
      <c r="Z102" s="2">
        <v>0</v>
      </c>
      <c r="AA102" s="45">
        <f>SUM(T102:Z102)</f>
        <v>42</v>
      </c>
      <c r="AB102" s="41">
        <v>2020</v>
      </c>
      <c r="AC102" s="123"/>
      <c r="AD102" s="102"/>
    </row>
    <row r="103" spans="1:31" ht="31.2" x14ac:dyDescent="0.3">
      <c r="A103" s="54" t="s">
        <v>18</v>
      </c>
      <c r="B103" s="54" t="s">
        <v>19</v>
      </c>
      <c r="C103" s="54" t="s">
        <v>20</v>
      </c>
      <c r="D103" s="54" t="s">
        <v>18</v>
      </c>
      <c r="E103" s="54" t="s">
        <v>21</v>
      </c>
      <c r="F103" s="54" t="s">
        <v>18</v>
      </c>
      <c r="G103" s="54" t="s">
        <v>22</v>
      </c>
      <c r="H103" s="54" t="s">
        <v>19</v>
      </c>
      <c r="I103" s="54" t="s">
        <v>24</v>
      </c>
      <c r="J103" s="54" t="s">
        <v>18</v>
      </c>
      <c r="K103" s="54" t="s">
        <v>18</v>
      </c>
      <c r="L103" s="54" t="s">
        <v>19</v>
      </c>
      <c r="M103" s="54" t="s">
        <v>43</v>
      </c>
      <c r="N103" s="54" t="s">
        <v>43</v>
      </c>
      <c r="O103" s="54" t="s">
        <v>43</v>
      </c>
      <c r="P103" s="54" t="s">
        <v>43</v>
      </c>
      <c r="Q103" s="54" t="s">
        <v>43</v>
      </c>
      <c r="R103" s="140" t="s">
        <v>105</v>
      </c>
      <c r="S103" s="58" t="s">
        <v>0</v>
      </c>
      <c r="T103" s="59">
        <f>99204.4+25748.3-45-48-10</f>
        <v>124849.7</v>
      </c>
      <c r="U103" s="59">
        <f>98382.7+162290.6-3301.8</f>
        <v>257371.5</v>
      </c>
      <c r="V103" s="59">
        <f>180545.5-150-150-2115-100</f>
        <v>178030.5</v>
      </c>
      <c r="W103" s="59">
        <v>154888</v>
      </c>
      <c r="X103" s="59">
        <v>132888</v>
      </c>
      <c r="Y103" s="59">
        <v>132888</v>
      </c>
      <c r="Z103" s="59">
        <v>132888</v>
      </c>
      <c r="AA103" s="59">
        <f>SUM(T103:Z103)</f>
        <v>1113803.7</v>
      </c>
      <c r="AB103" s="58">
        <v>2024</v>
      </c>
      <c r="AC103" s="119"/>
      <c r="AD103" s="102"/>
    </row>
    <row r="104" spans="1:31" ht="33" customHeight="1" x14ac:dyDescent="0.3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61" t="s">
        <v>106</v>
      </c>
      <c r="S104" s="142" t="s">
        <v>50</v>
      </c>
      <c r="T104" s="2">
        <v>21452</v>
      </c>
      <c r="U104" s="2">
        <v>21713</v>
      </c>
      <c r="V104" s="2">
        <v>21820</v>
      </c>
      <c r="W104" s="2">
        <v>21820</v>
      </c>
      <c r="X104" s="2">
        <v>21820</v>
      </c>
      <c r="Y104" s="2">
        <v>21820</v>
      </c>
      <c r="Z104" s="2">
        <v>21820</v>
      </c>
      <c r="AA104" s="49">
        <f>Y104</f>
        <v>21820</v>
      </c>
      <c r="AB104" s="41">
        <v>2024</v>
      </c>
      <c r="AC104" s="123"/>
      <c r="AD104" s="109"/>
      <c r="AE104" s="109"/>
    </row>
    <row r="105" spans="1:31" ht="46.95" customHeight="1" x14ac:dyDescent="0.3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61" t="s">
        <v>107</v>
      </c>
      <c r="S105" s="142" t="s">
        <v>9</v>
      </c>
      <c r="T105" s="3">
        <v>95</v>
      </c>
      <c r="U105" s="3">
        <v>95</v>
      </c>
      <c r="V105" s="3">
        <v>95</v>
      </c>
      <c r="W105" s="3">
        <v>95</v>
      </c>
      <c r="X105" s="3">
        <v>95</v>
      </c>
      <c r="Y105" s="3">
        <v>95</v>
      </c>
      <c r="Z105" s="3">
        <v>95</v>
      </c>
      <c r="AA105" s="5">
        <v>95</v>
      </c>
      <c r="AB105" s="41">
        <v>2024</v>
      </c>
      <c r="AC105" s="33"/>
    </row>
    <row r="106" spans="1:31" ht="31.2" x14ac:dyDescent="0.3">
      <c r="A106" s="54"/>
      <c r="B106" s="54"/>
      <c r="C106" s="54"/>
      <c r="D106" s="54" t="s">
        <v>18</v>
      </c>
      <c r="E106" s="54" t="s">
        <v>21</v>
      </c>
      <c r="F106" s="54" t="s">
        <v>18</v>
      </c>
      <c r="G106" s="54" t="s">
        <v>22</v>
      </c>
      <c r="H106" s="54" t="s">
        <v>19</v>
      </c>
      <c r="I106" s="54" t="s">
        <v>24</v>
      </c>
      <c r="J106" s="54" t="s">
        <v>18</v>
      </c>
      <c r="K106" s="54" t="s">
        <v>18</v>
      </c>
      <c r="L106" s="54" t="s">
        <v>19</v>
      </c>
      <c r="M106" s="54" t="s">
        <v>43</v>
      </c>
      <c r="N106" s="54" t="s">
        <v>43</v>
      </c>
      <c r="O106" s="54" t="s">
        <v>43</v>
      </c>
      <c r="P106" s="54" t="s">
        <v>43</v>
      </c>
      <c r="Q106" s="54" t="s">
        <v>43</v>
      </c>
      <c r="R106" s="68" t="s">
        <v>108</v>
      </c>
      <c r="S106" s="58" t="s">
        <v>0</v>
      </c>
      <c r="T106" s="59">
        <f t="shared" ref="T106:Y107" si="43">T108+T110+T112+T114</f>
        <v>1880.0999999999997</v>
      </c>
      <c r="U106" s="59">
        <f t="shared" si="43"/>
        <v>1976</v>
      </c>
      <c r="V106" s="59">
        <f t="shared" si="43"/>
        <v>1715.8</v>
      </c>
      <c r="W106" s="59">
        <f t="shared" si="43"/>
        <v>2697.7</v>
      </c>
      <c r="X106" s="59">
        <f t="shared" si="43"/>
        <v>2697.7</v>
      </c>
      <c r="Y106" s="59">
        <f t="shared" si="43"/>
        <v>2697.7</v>
      </c>
      <c r="Z106" s="59">
        <f t="shared" ref="Z106" si="44">Z108+Z110+Z112+Z114</f>
        <v>2697.7</v>
      </c>
      <c r="AA106" s="59">
        <f t="shared" ref="AA106:AA115" si="45">SUM(T106:Z106)</f>
        <v>16362.7</v>
      </c>
      <c r="AB106" s="58">
        <v>2024</v>
      </c>
      <c r="AC106" s="120"/>
    </row>
    <row r="107" spans="1:31" ht="46.8" x14ac:dyDescent="0.3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40" t="s">
        <v>109</v>
      </c>
      <c r="S107" s="41" t="s">
        <v>38</v>
      </c>
      <c r="T107" s="44">
        <f t="shared" si="43"/>
        <v>61</v>
      </c>
      <c r="U107" s="44">
        <f t="shared" si="43"/>
        <v>147</v>
      </c>
      <c r="V107" s="44">
        <f t="shared" si="43"/>
        <v>255</v>
      </c>
      <c r="W107" s="44">
        <f t="shared" si="43"/>
        <v>145</v>
      </c>
      <c r="X107" s="44">
        <f t="shared" si="43"/>
        <v>145</v>
      </c>
      <c r="Y107" s="44">
        <f t="shared" si="43"/>
        <v>145</v>
      </c>
      <c r="Z107" s="44">
        <f t="shared" ref="Z107" si="46">Z109+Z111+Z113+Z115</f>
        <v>145</v>
      </c>
      <c r="AA107" s="49">
        <f t="shared" si="45"/>
        <v>1043</v>
      </c>
      <c r="AB107" s="41">
        <v>2024</v>
      </c>
      <c r="AC107" s="123"/>
      <c r="AD107" s="102"/>
    </row>
    <row r="108" spans="1:31" ht="31.2" x14ac:dyDescent="0.3">
      <c r="A108" s="54" t="s">
        <v>18</v>
      </c>
      <c r="B108" s="54" t="s">
        <v>18</v>
      </c>
      <c r="C108" s="54" t="s">
        <v>22</v>
      </c>
      <c r="D108" s="54" t="s">
        <v>18</v>
      </c>
      <c r="E108" s="54" t="s">
        <v>21</v>
      </c>
      <c r="F108" s="54" t="s">
        <v>18</v>
      </c>
      <c r="G108" s="54" t="s">
        <v>22</v>
      </c>
      <c r="H108" s="54" t="s">
        <v>19</v>
      </c>
      <c r="I108" s="54" t="s">
        <v>24</v>
      </c>
      <c r="J108" s="54" t="s">
        <v>18</v>
      </c>
      <c r="K108" s="54" t="s">
        <v>18</v>
      </c>
      <c r="L108" s="54" t="s">
        <v>19</v>
      </c>
      <c r="M108" s="54" t="s">
        <v>43</v>
      </c>
      <c r="N108" s="54" t="s">
        <v>43</v>
      </c>
      <c r="O108" s="54" t="s">
        <v>43</v>
      </c>
      <c r="P108" s="54" t="s">
        <v>43</v>
      </c>
      <c r="Q108" s="54" t="s">
        <v>43</v>
      </c>
      <c r="R108" s="69" t="s">
        <v>110</v>
      </c>
      <c r="S108" s="55" t="s">
        <v>0</v>
      </c>
      <c r="T108" s="1">
        <f>92-9.2+105.5-26.8</f>
        <v>161.5</v>
      </c>
      <c r="U108" s="1">
        <f>1092-122.4</f>
        <v>969.6</v>
      </c>
      <c r="V108" s="1">
        <f>1092-692</f>
        <v>400</v>
      </c>
      <c r="W108" s="1">
        <v>1092</v>
      </c>
      <c r="X108" s="1">
        <v>1092</v>
      </c>
      <c r="Y108" s="1">
        <v>1092</v>
      </c>
      <c r="Z108" s="1">
        <v>1092</v>
      </c>
      <c r="AA108" s="59">
        <f t="shared" si="45"/>
        <v>5899.1</v>
      </c>
      <c r="AB108" s="58">
        <v>2024</v>
      </c>
      <c r="AC108" s="120"/>
    </row>
    <row r="109" spans="1:31" ht="46.8" x14ac:dyDescent="0.3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74" t="s">
        <v>111</v>
      </c>
      <c r="S109" s="142" t="s">
        <v>38</v>
      </c>
      <c r="T109" s="44">
        <f>4+4</f>
        <v>8</v>
      </c>
      <c r="U109" s="44">
        <f>29+21</f>
        <v>50</v>
      </c>
      <c r="V109" s="44">
        <v>23</v>
      </c>
      <c r="W109" s="44">
        <v>29</v>
      </c>
      <c r="X109" s="44">
        <v>29</v>
      </c>
      <c r="Y109" s="44">
        <v>29</v>
      </c>
      <c r="Z109" s="44">
        <v>29</v>
      </c>
      <c r="AA109" s="49">
        <f t="shared" si="45"/>
        <v>197</v>
      </c>
      <c r="AB109" s="41">
        <v>2024</v>
      </c>
      <c r="AC109" s="127"/>
      <c r="AD109" s="109"/>
    </row>
    <row r="110" spans="1:31" ht="31.2" x14ac:dyDescent="0.3">
      <c r="A110" s="54" t="s">
        <v>18</v>
      </c>
      <c r="B110" s="54" t="s">
        <v>18</v>
      </c>
      <c r="C110" s="54" t="s">
        <v>24</v>
      </c>
      <c r="D110" s="54" t="s">
        <v>18</v>
      </c>
      <c r="E110" s="54" t="s">
        <v>21</v>
      </c>
      <c r="F110" s="54" t="s">
        <v>18</v>
      </c>
      <c r="G110" s="54" t="s">
        <v>22</v>
      </c>
      <c r="H110" s="54" t="s">
        <v>19</v>
      </c>
      <c r="I110" s="54" t="s">
        <v>24</v>
      </c>
      <c r="J110" s="54" t="s">
        <v>18</v>
      </c>
      <c r="K110" s="54" t="s">
        <v>18</v>
      </c>
      <c r="L110" s="54" t="s">
        <v>19</v>
      </c>
      <c r="M110" s="54" t="s">
        <v>43</v>
      </c>
      <c r="N110" s="54" t="s">
        <v>43</v>
      </c>
      <c r="O110" s="54" t="s">
        <v>43</v>
      </c>
      <c r="P110" s="54" t="s">
        <v>43</v>
      </c>
      <c r="Q110" s="54" t="s">
        <v>43</v>
      </c>
      <c r="R110" s="69" t="s">
        <v>110</v>
      </c>
      <c r="S110" s="55" t="s">
        <v>0</v>
      </c>
      <c r="T110" s="1">
        <f>1135.8-126-115.2-44.7</f>
        <v>849.89999999999986</v>
      </c>
      <c r="U110" s="1">
        <f>630.5-140-173</f>
        <v>317.5</v>
      </c>
      <c r="V110" s="1">
        <f>630.5-192.2</f>
        <v>438.3</v>
      </c>
      <c r="W110" s="1">
        <v>630.5</v>
      </c>
      <c r="X110" s="1">
        <v>630.5</v>
      </c>
      <c r="Y110" s="1">
        <v>630.5</v>
      </c>
      <c r="Z110" s="1">
        <v>630.5</v>
      </c>
      <c r="AA110" s="59">
        <f t="shared" si="45"/>
        <v>4127.7</v>
      </c>
      <c r="AB110" s="58">
        <v>2024</v>
      </c>
      <c r="AC110" s="122"/>
      <c r="AD110" s="102"/>
    </row>
    <row r="111" spans="1:31" ht="46.8" x14ac:dyDescent="0.3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61" t="s">
        <v>112</v>
      </c>
      <c r="S111" s="142" t="s">
        <v>38</v>
      </c>
      <c r="T111" s="44">
        <v>26</v>
      </c>
      <c r="U111" s="44">
        <v>62</v>
      </c>
      <c r="V111" s="44">
        <v>56</v>
      </c>
      <c r="W111" s="44">
        <v>20</v>
      </c>
      <c r="X111" s="44">
        <v>20</v>
      </c>
      <c r="Y111" s="44">
        <v>20</v>
      </c>
      <c r="Z111" s="44">
        <v>20</v>
      </c>
      <c r="AA111" s="49">
        <f t="shared" si="45"/>
        <v>224</v>
      </c>
      <c r="AB111" s="41">
        <v>2024</v>
      </c>
      <c r="AC111" s="123"/>
      <c r="AD111" s="102"/>
    </row>
    <row r="112" spans="1:31" ht="31.2" x14ac:dyDescent="0.3">
      <c r="A112" s="54" t="s">
        <v>18</v>
      </c>
      <c r="B112" s="54" t="s">
        <v>18</v>
      </c>
      <c r="C112" s="54" t="s">
        <v>21</v>
      </c>
      <c r="D112" s="54" t="s">
        <v>18</v>
      </c>
      <c r="E112" s="54" t="s">
        <v>21</v>
      </c>
      <c r="F112" s="54" t="s">
        <v>18</v>
      </c>
      <c r="G112" s="54" t="s">
        <v>22</v>
      </c>
      <c r="H112" s="54" t="s">
        <v>19</v>
      </c>
      <c r="I112" s="54" t="s">
        <v>24</v>
      </c>
      <c r="J112" s="54" t="s">
        <v>18</v>
      </c>
      <c r="K112" s="54" t="s">
        <v>18</v>
      </c>
      <c r="L112" s="54" t="s">
        <v>19</v>
      </c>
      <c r="M112" s="54" t="s">
        <v>43</v>
      </c>
      <c r="N112" s="54" t="s">
        <v>43</v>
      </c>
      <c r="O112" s="54" t="s">
        <v>43</v>
      </c>
      <c r="P112" s="54" t="s">
        <v>43</v>
      </c>
      <c r="Q112" s="54" t="s">
        <v>43</v>
      </c>
      <c r="R112" s="69" t="s">
        <v>110</v>
      </c>
      <c r="S112" s="55" t="s">
        <v>0</v>
      </c>
      <c r="T112" s="1">
        <f>429.2+396.7-107.5</f>
        <v>718.4</v>
      </c>
      <c r="U112" s="1">
        <f>475.2-36.3</f>
        <v>438.9</v>
      </c>
      <c r="V112" s="1">
        <v>475.7</v>
      </c>
      <c r="W112" s="1">
        <v>475.2</v>
      </c>
      <c r="X112" s="1">
        <v>475.2</v>
      </c>
      <c r="Y112" s="1">
        <v>475.2</v>
      </c>
      <c r="Z112" s="1">
        <v>475.2</v>
      </c>
      <c r="AA112" s="59">
        <f t="shared" si="45"/>
        <v>3533.7999999999993</v>
      </c>
      <c r="AB112" s="58">
        <v>2024</v>
      </c>
      <c r="AC112" s="120"/>
    </row>
    <row r="113" spans="1:32" ht="46.8" x14ac:dyDescent="0.3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40" t="s">
        <v>113</v>
      </c>
      <c r="S113" s="41" t="s">
        <v>38</v>
      </c>
      <c r="T113" s="44">
        <v>17</v>
      </c>
      <c r="U113" s="44">
        <v>17</v>
      </c>
      <c r="V113" s="44">
        <v>122</v>
      </c>
      <c r="W113" s="44">
        <v>17</v>
      </c>
      <c r="X113" s="44">
        <v>17</v>
      </c>
      <c r="Y113" s="44">
        <v>17</v>
      </c>
      <c r="Z113" s="44">
        <v>17</v>
      </c>
      <c r="AA113" s="49">
        <f t="shared" si="45"/>
        <v>224</v>
      </c>
      <c r="AB113" s="41">
        <v>2024</v>
      </c>
      <c r="AC113" s="123"/>
      <c r="AD113" s="102"/>
    </row>
    <row r="114" spans="1:32" ht="31.2" x14ac:dyDescent="0.3">
      <c r="A114" s="54" t="s">
        <v>18</v>
      </c>
      <c r="B114" s="54" t="s">
        <v>18</v>
      </c>
      <c r="C114" s="54" t="s">
        <v>25</v>
      </c>
      <c r="D114" s="54" t="s">
        <v>18</v>
      </c>
      <c r="E114" s="54" t="s">
        <v>21</v>
      </c>
      <c r="F114" s="54" t="s">
        <v>18</v>
      </c>
      <c r="G114" s="54" t="s">
        <v>22</v>
      </c>
      <c r="H114" s="54" t="s">
        <v>19</v>
      </c>
      <c r="I114" s="54" t="s">
        <v>24</v>
      </c>
      <c r="J114" s="54" t="s">
        <v>18</v>
      </c>
      <c r="K114" s="54" t="s">
        <v>18</v>
      </c>
      <c r="L114" s="54" t="s">
        <v>19</v>
      </c>
      <c r="M114" s="54" t="s">
        <v>43</v>
      </c>
      <c r="N114" s="54" t="s">
        <v>43</v>
      </c>
      <c r="O114" s="54" t="s">
        <v>43</v>
      </c>
      <c r="P114" s="54" t="s">
        <v>43</v>
      </c>
      <c r="Q114" s="54" t="s">
        <v>43</v>
      </c>
      <c r="R114" s="69" t="s">
        <v>114</v>
      </c>
      <c r="S114" s="55" t="s">
        <v>0</v>
      </c>
      <c r="T114" s="1">
        <f>153.3-3</f>
        <v>150.30000000000001</v>
      </c>
      <c r="U114" s="1">
        <f>200+50</f>
        <v>250</v>
      </c>
      <c r="V114" s="1">
        <f>500-101.5+3.3</f>
        <v>401.8</v>
      </c>
      <c r="W114" s="1">
        <v>500</v>
      </c>
      <c r="X114" s="1">
        <v>500</v>
      </c>
      <c r="Y114" s="1">
        <v>500</v>
      </c>
      <c r="Z114" s="1">
        <v>500</v>
      </c>
      <c r="AA114" s="59">
        <f t="shared" si="45"/>
        <v>2802.1</v>
      </c>
      <c r="AB114" s="58">
        <v>2024</v>
      </c>
      <c r="AC114" s="33"/>
    </row>
    <row r="115" spans="1:32" ht="46.8" x14ac:dyDescent="0.3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40" t="s">
        <v>115</v>
      </c>
      <c r="S115" s="41" t="s">
        <v>38</v>
      </c>
      <c r="T115" s="44">
        <v>10</v>
      </c>
      <c r="U115" s="44">
        <v>18</v>
      </c>
      <c r="V115" s="44">
        <v>54</v>
      </c>
      <c r="W115" s="44">
        <v>79</v>
      </c>
      <c r="X115" s="44">
        <v>79</v>
      </c>
      <c r="Y115" s="44">
        <v>79</v>
      </c>
      <c r="Z115" s="44">
        <v>79</v>
      </c>
      <c r="AA115" s="49">
        <f t="shared" si="45"/>
        <v>398</v>
      </c>
      <c r="AB115" s="41">
        <v>2024</v>
      </c>
      <c r="AC115" s="33"/>
    </row>
    <row r="116" spans="1:32" ht="31.2" x14ac:dyDescent="0.3">
      <c r="A116" s="54" t="s">
        <v>18</v>
      </c>
      <c r="B116" s="54" t="s">
        <v>19</v>
      </c>
      <c r="C116" s="54" t="s">
        <v>20</v>
      </c>
      <c r="D116" s="54" t="s">
        <v>18</v>
      </c>
      <c r="E116" s="54" t="s">
        <v>21</v>
      </c>
      <c r="F116" s="54" t="s">
        <v>18</v>
      </c>
      <c r="G116" s="54" t="s">
        <v>22</v>
      </c>
      <c r="H116" s="54" t="s">
        <v>19</v>
      </c>
      <c r="I116" s="54" t="s">
        <v>24</v>
      </c>
      <c r="J116" s="54" t="s">
        <v>18</v>
      </c>
      <c r="K116" s="54" t="s">
        <v>18</v>
      </c>
      <c r="L116" s="54" t="s">
        <v>19</v>
      </c>
      <c r="M116" s="54" t="s">
        <v>43</v>
      </c>
      <c r="N116" s="54" t="s">
        <v>43</v>
      </c>
      <c r="O116" s="54" t="s">
        <v>43</v>
      </c>
      <c r="P116" s="54" t="s">
        <v>43</v>
      </c>
      <c r="Q116" s="54" t="s">
        <v>43</v>
      </c>
      <c r="R116" s="140" t="s">
        <v>116</v>
      </c>
      <c r="S116" s="94" t="s">
        <v>0</v>
      </c>
      <c r="T116" s="59">
        <f>2300+20572-19997.4-439+45+48+203.1-4</f>
        <v>2727.6999999999985</v>
      </c>
      <c r="U116" s="59">
        <f>7300+715</f>
        <v>8015</v>
      </c>
      <c r="V116" s="59">
        <f>3500+2115-846.5</f>
        <v>4768.5</v>
      </c>
      <c r="W116" s="59">
        <v>5200</v>
      </c>
      <c r="X116" s="59">
        <v>5200</v>
      </c>
      <c r="Y116" s="59">
        <v>5200</v>
      </c>
      <c r="Z116" s="59">
        <v>5200</v>
      </c>
      <c r="AA116" s="59">
        <f>SUM(T116:Z116)</f>
        <v>36311.199999999997</v>
      </c>
      <c r="AB116" s="58">
        <v>2024</v>
      </c>
      <c r="AC116" s="123"/>
      <c r="AD116" s="109"/>
      <c r="AE116" s="109"/>
      <c r="AF116" s="109"/>
    </row>
    <row r="117" spans="1:32" s="72" customFormat="1" ht="46.8" x14ac:dyDescent="0.3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40" t="s">
        <v>117</v>
      </c>
      <c r="S117" s="41" t="s">
        <v>50</v>
      </c>
      <c r="T117" s="2">
        <v>8</v>
      </c>
      <c r="U117" s="2">
        <v>10</v>
      </c>
      <c r="V117" s="2">
        <v>10</v>
      </c>
      <c r="W117" s="2">
        <v>10</v>
      </c>
      <c r="X117" s="2">
        <v>10</v>
      </c>
      <c r="Y117" s="2">
        <v>10</v>
      </c>
      <c r="Z117" s="2">
        <v>10</v>
      </c>
      <c r="AA117" s="45">
        <v>10</v>
      </c>
      <c r="AB117" s="41">
        <v>2024</v>
      </c>
      <c r="AC117" s="33"/>
      <c r="AD117" s="102"/>
    </row>
    <row r="118" spans="1:32" ht="31.2" x14ac:dyDescent="0.3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61" t="s">
        <v>118</v>
      </c>
      <c r="S118" s="142" t="s">
        <v>50</v>
      </c>
      <c r="T118" s="2">
        <v>0</v>
      </c>
      <c r="U118" s="2">
        <v>649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45">
        <f>SUM(T118:Z118)</f>
        <v>649</v>
      </c>
      <c r="AB118" s="142">
        <v>2019</v>
      </c>
      <c r="AC118" s="33"/>
      <c r="AD118" s="102"/>
    </row>
    <row r="119" spans="1:32" s="72" customFormat="1" ht="31.2" x14ac:dyDescent="0.3">
      <c r="A119" s="54" t="s">
        <v>18</v>
      </c>
      <c r="B119" s="54" t="s">
        <v>19</v>
      </c>
      <c r="C119" s="54" t="s">
        <v>20</v>
      </c>
      <c r="D119" s="54" t="s">
        <v>18</v>
      </c>
      <c r="E119" s="54" t="s">
        <v>21</v>
      </c>
      <c r="F119" s="54" t="s">
        <v>18</v>
      </c>
      <c r="G119" s="54" t="s">
        <v>22</v>
      </c>
      <c r="H119" s="54" t="s">
        <v>19</v>
      </c>
      <c r="I119" s="54" t="s">
        <v>24</v>
      </c>
      <c r="J119" s="54" t="s">
        <v>18</v>
      </c>
      <c r="K119" s="54" t="s">
        <v>18</v>
      </c>
      <c r="L119" s="54" t="s">
        <v>19</v>
      </c>
      <c r="M119" s="54" t="s">
        <v>43</v>
      </c>
      <c r="N119" s="54" t="s">
        <v>43</v>
      </c>
      <c r="O119" s="54" t="s">
        <v>43</v>
      </c>
      <c r="P119" s="54" t="s">
        <v>43</v>
      </c>
      <c r="Q119" s="54" t="s">
        <v>43</v>
      </c>
      <c r="R119" s="141" t="s">
        <v>119</v>
      </c>
      <c r="S119" s="58" t="s">
        <v>0</v>
      </c>
      <c r="T119" s="59">
        <f>102300-550-5000-1550.7+43.1+12-12</f>
        <v>95242.400000000009</v>
      </c>
      <c r="U119" s="59">
        <f>83000-4000+50</f>
        <v>79050</v>
      </c>
      <c r="V119" s="59">
        <f>89143.1+50</f>
        <v>89193.1</v>
      </c>
      <c r="W119" s="59">
        <v>89143.1</v>
      </c>
      <c r="X119" s="59">
        <v>89143.1</v>
      </c>
      <c r="Y119" s="59">
        <v>89143.1</v>
      </c>
      <c r="Z119" s="59">
        <v>89143.1</v>
      </c>
      <c r="AA119" s="59">
        <f>SUM(T119:Z119)</f>
        <v>620057.89999999991</v>
      </c>
      <c r="AB119" s="58">
        <v>2024</v>
      </c>
      <c r="AC119" s="33"/>
    </row>
    <row r="120" spans="1:32" s="72" customFormat="1" ht="31.2" x14ac:dyDescent="0.3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48" t="s">
        <v>120</v>
      </c>
      <c r="S120" s="41" t="s">
        <v>52</v>
      </c>
      <c r="T120" s="4">
        <v>3.7</v>
      </c>
      <c r="U120" s="4">
        <v>3.8</v>
      </c>
      <c r="V120" s="4">
        <v>3.7</v>
      </c>
      <c r="W120" s="4">
        <v>3.7</v>
      </c>
      <c r="X120" s="4">
        <v>3.7</v>
      </c>
      <c r="Y120" s="4">
        <v>3.7</v>
      </c>
      <c r="Z120" s="4">
        <v>3.7</v>
      </c>
      <c r="AA120" s="6">
        <v>3.7</v>
      </c>
      <c r="AB120" s="41">
        <v>2024</v>
      </c>
      <c r="AC120" s="33"/>
    </row>
    <row r="121" spans="1:32" ht="46.8" x14ac:dyDescent="0.3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40" t="s">
        <v>121</v>
      </c>
      <c r="S121" s="41" t="s">
        <v>50</v>
      </c>
      <c r="T121" s="44">
        <v>87</v>
      </c>
      <c r="U121" s="44">
        <v>74</v>
      </c>
      <c r="V121" s="44">
        <v>74</v>
      </c>
      <c r="W121" s="44">
        <v>70</v>
      </c>
      <c r="X121" s="44">
        <v>70</v>
      </c>
      <c r="Y121" s="44">
        <v>70</v>
      </c>
      <c r="Z121" s="44">
        <v>70</v>
      </c>
      <c r="AA121" s="49">
        <v>74</v>
      </c>
      <c r="AB121" s="41">
        <v>2024</v>
      </c>
      <c r="AC121" s="123"/>
      <c r="AD121" s="102"/>
    </row>
    <row r="122" spans="1:32" ht="47.4" customHeight="1" x14ac:dyDescent="0.3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61" t="s">
        <v>122</v>
      </c>
      <c r="S122" s="142" t="s">
        <v>50</v>
      </c>
      <c r="T122" s="2">
        <v>2400</v>
      </c>
      <c r="U122" s="44">
        <v>2400</v>
      </c>
      <c r="V122" s="44">
        <v>4059</v>
      </c>
      <c r="W122" s="44">
        <v>3100</v>
      </c>
      <c r="X122" s="44">
        <v>3100</v>
      </c>
      <c r="Y122" s="44">
        <v>3100</v>
      </c>
      <c r="Z122" s="44">
        <v>3100</v>
      </c>
      <c r="AA122" s="49">
        <f>SUM(T122:Z122)</f>
        <v>21259</v>
      </c>
      <c r="AB122" s="41">
        <v>2024</v>
      </c>
      <c r="AC122" s="123"/>
      <c r="AD122" s="102"/>
    </row>
    <row r="123" spans="1:32" ht="46.8" x14ac:dyDescent="0.3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61" t="s">
        <v>123</v>
      </c>
      <c r="S123" s="142" t="s">
        <v>32</v>
      </c>
      <c r="T123" s="4">
        <v>12100</v>
      </c>
      <c r="U123" s="3">
        <v>11300</v>
      </c>
      <c r="V123" s="3">
        <v>16000</v>
      </c>
      <c r="W123" s="3">
        <v>13499</v>
      </c>
      <c r="X123" s="3">
        <v>13499</v>
      </c>
      <c r="Y123" s="3">
        <v>13499</v>
      </c>
      <c r="Z123" s="3">
        <v>13499</v>
      </c>
      <c r="AA123" s="49">
        <f t="shared" ref="AA123:AA124" si="47">SUM(T123:Z123)</f>
        <v>93396</v>
      </c>
      <c r="AB123" s="41">
        <v>2024</v>
      </c>
      <c r="AC123" s="123"/>
      <c r="AD123" s="102"/>
    </row>
    <row r="124" spans="1:32" s="51" customFormat="1" ht="30" customHeight="1" x14ac:dyDescent="0.3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61" t="s">
        <v>124</v>
      </c>
      <c r="S124" s="142" t="s">
        <v>34</v>
      </c>
      <c r="T124" s="4">
        <v>8969</v>
      </c>
      <c r="U124" s="3">
        <v>9945</v>
      </c>
      <c r="V124" s="3">
        <v>10275</v>
      </c>
      <c r="W124" s="3">
        <v>12053</v>
      </c>
      <c r="X124" s="3">
        <v>12053</v>
      </c>
      <c r="Y124" s="3">
        <v>12053</v>
      </c>
      <c r="Z124" s="3">
        <v>12053</v>
      </c>
      <c r="AA124" s="49">
        <f t="shared" si="47"/>
        <v>77401</v>
      </c>
      <c r="AB124" s="41">
        <v>2024</v>
      </c>
      <c r="AC124" s="123"/>
      <c r="AD124" s="102"/>
    </row>
    <row r="125" spans="1:32" s="51" customFormat="1" ht="31.2" x14ac:dyDescent="0.3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40" t="s">
        <v>125</v>
      </c>
      <c r="S125" s="41" t="s">
        <v>52</v>
      </c>
      <c r="T125" s="3">
        <v>2557</v>
      </c>
      <c r="U125" s="3">
        <v>2220.9</v>
      </c>
      <c r="V125" s="3">
        <v>2165.9</v>
      </c>
      <c r="W125" s="3">
        <v>2221</v>
      </c>
      <c r="X125" s="3">
        <v>2221</v>
      </c>
      <c r="Y125" s="3">
        <v>2221</v>
      </c>
      <c r="Z125" s="3">
        <v>2221</v>
      </c>
      <c r="AA125" s="6">
        <f>Z125</f>
        <v>2221</v>
      </c>
      <c r="AB125" s="41">
        <v>2024</v>
      </c>
      <c r="AC125" s="33"/>
    </row>
    <row r="126" spans="1:32" ht="62.4" x14ac:dyDescent="0.3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48" t="s">
        <v>126</v>
      </c>
      <c r="S126" s="41" t="s">
        <v>36</v>
      </c>
      <c r="T126" s="44">
        <v>247</v>
      </c>
      <c r="U126" s="44">
        <v>247</v>
      </c>
      <c r="V126" s="44">
        <v>249</v>
      </c>
      <c r="W126" s="44">
        <v>247</v>
      </c>
      <c r="X126" s="44">
        <v>247</v>
      </c>
      <c r="Y126" s="44">
        <v>247</v>
      </c>
      <c r="Z126" s="44">
        <v>247</v>
      </c>
      <c r="AA126" s="49">
        <f>SUM(T126:Z126)</f>
        <v>1731</v>
      </c>
      <c r="AB126" s="41">
        <v>2024</v>
      </c>
      <c r="AC126" s="33"/>
    </row>
    <row r="127" spans="1:32" ht="31.2" x14ac:dyDescent="0.3">
      <c r="A127" s="54" t="s">
        <v>18</v>
      </c>
      <c r="B127" s="54" t="s">
        <v>19</v>
      </c>
      <c r="C127" s="54" t="s">
        <v>24</v>
      </c>
      <c r="D127" s="54" t="s">
        <v>18</v>
      </c>
      <c r="E127" s="54" t="s">
        <v>21</v>
      </c>
      <c r="F127" s="54" t="s">
        <v>18</v>
      </c>
      <c r="G127" s="54" t="s">
        <v>22</v>
      </c>
      <c r="H127" s="54" t="s">
        <v>19</v>
      </c>
      <c r="I127" s="54" t="s">
        <v>24</v>
      </c>
      <c r="J127" s="54" t="s">
        <v>18</v>
      </c>
      <c r="K127" s="54" t="s">
        <v>18</v>
      </c>
      <c r="L127" s="54" t="s">
        <v>19</v>
      </c>
      <c r="M127" s="54" t="s">
        <v>43</v>
      </c>
      <c r="N127" s="54" t="s">
        <v>43</v>
      </c>
      <c r="O127" s="54" t="s">
        <v>43</v>
      </c>
      <c r="P127" s="54" t="s">
        <v>43</v>
      </c>
      <c r="Q127" s="54" t="s">
        <v>43</v>
      </c>
      <c r="R127" s="68" t="s">
        <v>127</v>
      </c>
      <c r="S127" s="94" t="s">
        <v>0</v>
      </c>
      <c r="T127" s="59">
        <f>0+236</f>
        <v>236</v>
      </c>
      <c r="U127" s="59">
        <f>1036-229-48-141.6</f>
        <v>617.4</v>
      </c>
      <c r="V127" s="59">
        <f>1036-150-281.7-227.2</f>
        <v>377.09999999999997</v>
      </c>
      <c r="W127" s="59">
        <v>886</v>
      </c>
      <c r="X127" s="59">
        <v>886</v>
      </c>
      <c r="Y127" s="59">
        <v>886</v>
      </c>
      <c r="Z127" s="59">
        <v>886</v>
      </c>
      <c r="AA127" s="59">
        <f>SUM(T127:Z127)</f>
        <v>4774.5</v>
      </c>
      <c r="AB127" s="58">
        <v>2024</v>
      </c>
      <c r="AC127" s="33"/>
    </row>
    <row r="128" spans="1:32" ht="31.2" x14ac:dyDescent="0.3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61" t="s">
        <v>128</v>
      </c>
      <c r="S128" s="142" t="s">
        <v>50</v>
      </c>
      <c r="T128" s="2">
        <v>0</v>
      </c>
      <c r="U128" s="2">
        <v>1</v>
      </c>
      <c r="V128" s="2">
        <v>0</v>
      </c>
      <c r="W128" s="2">
        <v>0</v>
      </c>
      <c r="X128" s="2">
        <v>5</v>
      </c>
      <c r="Y128" s="2">
        <v>5</v>
      </c>
      <c r="Z128" s="2">
        <v>5</v>
      </c>
      <c r="AA128" s="49">
        <f>SUM(U128:Z128)</f>
        <v>16</v>
      </c>
      <c r="AB128" s="41">
        <v>2024</v>
      </c>
      <c r="AC128" s="123"/>
      <c r="AD128" s="109"/>
      <c r="AE128" s="109"/>
      <c r="AF128" s="109"/>
    </row>
    <row r="129" spans="1:32" ht="31.2" x14ac:dyDescent="0.3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61" t="s">
        <v>179</v>
      </c>
      <c r="S129" s="142" t="s">
        <v>50</v>
      </c>
      <c r="T129" s="2">
        <v>3</v>
      </c>
      <c r="U129" s="2">
        <f>5-1</f>
        <v>4</v>
      </c>
      <c r="V129" s="2">
        <f t="shared" ref="V129:Z129" si="48">5-1</f>
        <v>4</v>
      </c>
      <c r="W129" s="2">
        <f t="shared" si="48"/>
        <v>4</v>
      </c>
      <c r="X129" s="2">
        <f t="shared" si="48"/>
        <v>4</v>
      </c>
      <c r="Y129" s="2">
        <f t="shared" si="48"/>
        <v>4</v>
      </c>
      <c r="Z129" s="2">
        <f t="shared" si="48"/>
        <v>4</v>
      </c>
      <c r="AA129" s="49">
        <v>4</v>
      </c>
      <c r="AB129" s="41">
        <v>2024</v>
      </c>
      <c r="AC129" s="33"/>
      <c r="AD129" s="109"/>
      <c r="AE129" s="109"/>
      <c r="AF129" s="109"/>
    </row>
    <row r="130" spans="1:32" ht="31.2" x14ac:dyDescent="0.3">
      <c r="A130" s="54" t="s">
        <v>18</v>
      </c>
      <c r="B130" s="54" t="s">
        <v>19</v>
      </c>
      <c r="C130" s="54" t="s">
        <v>20</v>
      </c>
      <c r="D130" s="54" t="s">
        <v>18</v>
      </c>
      <c r="E130" s="54" t="s">
        <v>21</v>
      </c>
      <c r="F130" s="54" t="s">
        <v>18</v>
      </c>
      <c r="G130" s="54" t="s">
        <v>22</v>
      </c>
      <c r="H130" s="54" t="s">
        <v>19</v>
      </c>
      <c r="I130" s="54" t="s">
        <v>24</v>
      </c>
      <c r="J130" s="54" t="s">
        <v>18</v>
      </c>
      <c r="K130" s="54" t="s">
        <v>18</v>
      </c>
      <c r="L130" s="54" t="s">
        <v>19</v>
      </c>
      <c r="M130" s="54" t="s">
        <v>43</v>
      </c>
      <c r="N130" s="54" t="s">
        <v>43</v>
      </c>
      <c r="O130" s="54" t="s">
        <v>43</v>
      </c>
      <c r="P130" s="54" t="s">
        <v>43</v>
      </c>
      <c r="Q130" s="54" t="s">
        <v>43</v>
      </c>
      <c r="R130" s="68" t="s">
        <v>174</v>
      </c>
      <c r="S130" s="94" t="s">
        <v>0</v>
      </c>
      <c r="T130" s="59">
        <f>0+550+1550.7</f>
        <v>2100.6999999999998</v>
      </c>
      <c r="U130" s="59">
        <f>0+4000</f>
        <v>4000</v>
      </c>
      <c r="V130" s="59">
        <f>0</f>
        <v>0</v>
      </c>
      <c r="W130" s="59">
        <f>0</f>
        <v>0</v>
      </c>
      <c r="X130" s="59">
        <f>0</f>
        <v>0</v>
      </c>
      <c r="Y130" s="59">
        <f>0</f>
        <v>0</v>
      </c>
      <c r="Z130" s="59">
        <f>0</f>
        <v>0</v>
      </c>
      <c r="AA130" s="59">
        <f>SUM(T130:Z130)</f>
        <v>6100.7</v>
      </c>
      <c r="AB130" s="58">
        <v>2019</v>
      </c>
      <c r="AC130" s="33"/>
    </row>
    <row r="131" spans="1:32" ht="30" customHeight="1" x14ac:dyDescent="0.3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61" t="s">
        <v>173</v>
      </c>
      <c r="S131" s="142" t="s">
        <v>38</v>
      </c>
      <c r="T131" s="2">
        <v>2</v>
      </c>
      <c r="U131" s="2">
        <v>1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49">
        <f>SUM(T131:Z131)</f>
        <v>3</v>
      </c>
      <c r="AB131" s="41">
        <v>2019</v>
      </c>
      <c r="AC131" s="123"/>
      <c r="AD131" s="109"/>
      <c r="AE131" s="109"/>
      <c r="AF131" s="109"/>
    </row>
    <row r="132" spans="1:32" ht="15.6" customHeight="1" x14ac:dyDescent="0.3">
      <c r="A132" s="54"/>
      <c r="B132" s="54"/>
      <c r="C132" s="54"/>
      <c r="D132" s="54" t="s">
        <v>18</v>
      </c>
      <c r="E132" s="54" t="s">
        <v>21</v>
      </c>
      <c r="F132" s="54" t="s">
        <v>18</v>
      </c>
      <c r="G132" s="54" t="s">
        <v>22</v>
      </c>
      <c r="H132" s="54" t="s">
        <v>19</v>
      </c>
      <c r="I132" s="54" t="s">
        <v>24</v>
      </c>
      <c r="J132" s="54" t="s">
        <v>18</v>
      </c>
      <c r="K132" s="54" t="s">
        <v>18</v>
      </c>
      <c r="L132" s="54" t="s">
        <v>18</v>
      </c>
      <c r="M132" s="54" t="s">
        <v>18</v>
      </c>
      <c r="N132" s="54" t="s">
        <v>18</v>
      </c>
      <c r="O132" s="54" t="s">
        <v>18</v>
      </c>
      <c r="P132" s="54" t="s">
        <v>18</v>
      </c>
      <c r="Q132" s="54" t="s">
        <v>18</v>
      </c>
      <c r="R132" s="164" t="s">
        <v>286</v>
      </c>
      <c r="S132" s="55" t="s">
        <v>0</v>
      </c>
      <c r="T132" s="59">
        <v>0</v>
      </c>
      <c r="U132" s="59">
        <f>SUM(U133:U136)</f>
        <v>117553.9</v>
      </c>
      <c r="V132" s="59">
        <f>V134+V133+V135+V136+V137</f>
        <v>125999.7</v>
      </c>
      <c r="W132" s="59">
        <f>SUM(W133:W136)</f>
        <v>82235.400000000009</v>
      </c>
      <c r="X132" s="59">
        <f t="shared" ref="X132:Z132" si="49">X134</f>
        <v>5000</v>
      </c>
      <c r="Y132" s="59">
        <f t="shared" si="49"/>
        <v>5000</v>
      </c>
      <c r="Z132" s="59">
        <f t="shared" si="49"/>
        <v>5000</v>
      </c>
      <c r="AA132" s="59">
        <f>SUM(T132:Z132)</f>
        <v>340789</v>
      </c>
      <c r="AB132" s="58">
        <v>2024</v>
      </c>
      <c r="AD132" s="104"/>
      <c r="AE132" s="104"/>
    </row>
    <row r="133" spans="1:32" x14ac:dyDescent="0.3">
      <c r="A133" s="54" t="s">
        <v>18</v>
      </c>
      <c r="B133" s="54" t="s">
        <v>19</v>
      </c>
      <c r="C133" s="54" t="s">
        <v>20</v>
      </c>
      <c r="D133" s="54" t="s">
        <v>18</v>
      </c>
      <c r="E133" s="54" t="s">
        <v>21</v>
      </c>
      <c r="F133" s="54" t="s">
        <v>18</v>
      </c>
      <c r="G133" s="54" t="s">
        <v>22</v>
      </c>
      <c r="H133" s="54" t="s">
        <v>19</v>
      </c>
      <c r="I133" s="54" t="s">
        <v>24</v>
      </c>
      <c r="J133" s="54" t="s">
        <v>18</v>
      </c>
      <c r="K133" s="54" t="s">
        <v>265</v>
      </c>
      <c r="L133" s="54" t="s">
        <v>20</v>
      </c>
      <c r="M133" s="54" t="s">
        <v>21</v>
      </c>
      <c r="N133" s="54" t="s">
        <v>21</v>
      </c>
      <c r="O133" s="54" t="s">
        <v>21</v>
      </c>
      <c r="P133" s="54" t="s">
        <v>21</v>
      </c>
      <c r="Q133" s="54" t="s">
        <v>19</v>
      </c>
      <c r="R133" s="165"/>
      <c r="S133" s="55" t="s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59">
        <f>SUM(T133:Z133)</f>
        <v>0</v>
      </c>
      <c r="AB133" s="58">
        <v>2024</v>
      </c>
      <c r="AD133" s="104"/>
      <c r="AE133" s="104"/>
    </row>
    <row r="134" spans="1:32" x14ac:dyDescent="0.3">
      <c r="A134" s="54" t="s">
        <v>18</v>
      </c>
      <c r="B134" s="54" t="s">
        <v>24</v>
      </c>
      <c r="C134" s="54" t="s">
        <v>22</v>
      </c>
      <c r="D134" s="54" t="s">
        <v>18</v>
      </c>
      <c r="E134" s="54" t="s">
        <v>21</v>
      </c>
      <c r="F134" s="54" t="s">
        <v>18</v>
      </c>
      <c r="G134" s="54" t="s">
        <v>22</v>
      </c>
      <c r="H134" s="54" t="s">
        <v>19</v>
      </c>
      <c r="I134" s="54" t="s">
        <v>24</v>
      </c>
      <c r="J134" s="54" t="s">
        <v>18</v>
      </c>
      <c r="K134" s="54" t="s">
        <v>265</v>
      </c>
      <c r="L134" s="54" t="s">
        <v>20</v>
      </c>
      <c r="M134" s="54" t="s">
        <v>21</v>
      </c>
      <c r="N134" s="54" t="s">
        <v>21</v>
      </c>
      <c r="O134" s="54" t="s">
        <v>21</v>
      </c>
      <c r="P134" s="54" t="s">
        <v>21</v>
      </c>
      <c r="Q134" s="54" t="s">
        <v>19</v>
      </c>
      <c r="R134" s="165"/>
      <c r="S134" s="55" t="s">
        <v>0</v>
      </c>
      <c r="T134" s="1">
        <v>0</v>
      </c>
      <c r="U134" s="1">
        <f>115690</f>
        <v>115690</v>
      </c>
      <c r="V134" s="1">
        <v>112612.2</v>
      </c>
      <c r="W134" s="1">
        <v>77969.8</v>
      </c>
      <c r="X134" s="1">
        <v>5000</v>
      </c>
      <c r="Y134" s="1">
        <v>5000</v>
      </c>
      <c r="Z134" s="1">
        <v>5000</v>
      </c>
      <c r="AA134" s="59">
        <f t="shared" ref="AA134:AA136" si="50">SUM(T134:Z134)</f>
        <v>321272</v>
      </c>
      <c r="AB134" s="58">
        <v>2024</v>
      </c>
      <c r="AD134" s="104"/>
      <c r="AE134" s="104"/>
    </row>
    <row r="135" spans="1:32" x14ac:dyDescent="0.3">
      <c r="A135" s="54" t="s">
        <v>18</v>
      </c>
      <c r="B135" s="54" t="s">
        <v>19</v>
      </c>
      <c r="C135" s="54" t="s">
        <v>20</v>
      </c>
      <c r="D135" s="54" t="s">
        <v>18</v>
      </c>
      <c r="E135" s="54" t="s">
        <v>21</v>
      </c>
      <c r="F135" s="54" t="s">
        <v>18</v>
      </c>
      <c r="G135" s="54" t="s">
        <v>22</v>
      </c>
      <c r="H135" s="54" t="s">
        <v>19</v>
      </c>
      <c r="I135" s="54" t="s">
        <v>24</v>
      </c>
      <c r="J135" s="54" t="s">
        <v>18</v>
      </c>
      <c r="K135" s="54" t="s">
        <v>18</v>
      </c>
      <c r="L135" s="54" t="s">
        <v>19</v>
      </c>
      <c r="M135" s="54" t="s">
        <v>43</v>
      </c>
      <c r="N135" s="54" t="s">
        <v>43</v>
      </c>
      <c r="O135" s="54" t="s">
        <v>43</v>
      </c>
      <c r="P135" s="54" t="s">
        <v>43</v>
      </c>
      <c r="Q135" s="54" t="s">
        <v>43</v>
      </c>
      <c r="R135" s="165"/>
      <c r="S135" s="55" t="s">
        <v>0</v>
      </c>
      <c r="T135" s="1">
        <v>0</v>
      </c>
      <c r="U135" s="1">
        <f>840+131.2-50</f>
        <v>921.2</v>
      </c>
      <c r="V135" s="1">
        <f>150+100+100</f>
        <v>350</v>
      </c>
      <c r="W135" s="1">
        <v>0</v>
      </c>
      <c r="X135" s="1">
        <v>0</v>
      </c>
      <c r="Y135" s="1">
        <v>0</v>
      </c>
      <c r="Z135" s="1">
        <v>0</v>
      </c>
      <c r="AA135" s="59">
        <f t="shared" ref="AA135" si="51">SUM(T135:Z135)</f>
        <v>1271.2</v>
      </c>
      <c r="AB135" s="58">
        <v>2020</v>
      </c>
      <c r="AD135" s="104"/>
      <c r="AE135" s="104"/>
    </row>
    <row r="136" spans="1:32" x14ac:dyDescent="0.3">
      <c r="A136" s="54" t="s">
        <v>18</v>
      </c>
      <c r="B136" s="54" t="s">
        <v>24</v>
      </c>
      <c r="C136" s="54" t="s">
        <v>22</v>
      </c>
      <c r="D136" s="54" t="s">
        <v>18</v>
      </c>
      <c r="E136" s="54" t="s">
        <v>21</v>
      </c>
      <c r="F136" s="54" t="s">
        <v>18</v>
      </c>
      <c r="G136" s="54" t="s">
        <v>22</v>
      </c>
      <c r="H136" s="54" t="s">
        <v>19</v>
      </c>
      <c r="I136" s="54" t="s">
        <v>24</v>
      </c>
      <c r="J136" s="54" t="s">
        <v>18</v>
      </c>
      <c r="K136" s="54" t="s">
        <v>18</v>
      </c>
      <c r="L136" s="54" t="s">
        <v>19</v>
      </c>
      <c r="M136" s="54" t="s">
        <v>43</v>
      </c>
      <c r="N136" s="54" t="s">
        <v>43</v>
      </c>
      <c r="O136" s="54" t="s">
        <v>43</v>
      </c>
      <c r="P136" s="54" t="s">
        <v>43</v>
      </c>
      <c r="Q136" s="54" t="s">
        <v>43</v>
      </c>
      <c r="R136" s="165"/>
      <c r="S136" s="55" t="s">
        <v>0</v>
      </c>
      <c r="T136" s="1">
        <v>0</v>
      </c>
      <c r="U136" s="1">
        <f>2865.5-1232.8-690</f>
        <v>942.7</v>
      </c>
      <c r="V136" s="1">
        <v>4437.5</v>
      </c>
      <c r="W136" s="1">
        <v>4265.6000000000004</v>
      </c>
      <c r="X136" s="1">
        <v>0</v>
      </c>
      <c r="Y136" s="1">
        <v>0</v>
      </c>
      <c r="Z136" s="1">
        <v>0</v>
      </c>
      <c r="AA136" s="59">
        <f t="shared" si="50"/>
        <v>9645.7999999999993</v>
      </c>
      <c r="AB136" s="58">
        <v>2020</v>
      </c>
      <c r="AD136" s="104"/>
      <c r="AE136" s="104"/>
    </row>
    <row r="137" spans="1:32" x14ac:dyDescent="0.3">
      <c r="A137" s="54" t="s">
        <v>18</v>
      </c>
      <c r="B137" s="54" t="s">
        <v>24</v>
      </c>
      <c r="C137" s="54" t="s">
        <v>22</v>
      </c>
      <c r="D137" s="54" t="s">
        <v>18</v>
      </c>
      <c r="E137" s="54" t="s">
        <v>21</v>
      </c>
      <c r="F137" s="54" t="s">
        <v>18</v>
      </c>
      <c r="G137" s="54" t="s">
        <v>21</v>
      </c>
      <c r="H137" s="54" t="s">
        <v>19</v>
      </c>
      <c r="I137" s="54" t="s">
        <v>24</v>
      </c>
      <c r="J137" s="54" t="s">
        <v>18</v>
      </c>
      <c r="K137" s="54" t="s">
        <v>265</v>
      </c>
      <c r="L137" s="54" t="s">
        <v>20</v>
      </c>
      <c r="M137" s="54" t="s">
        <v>21</v>
      </c>
      <c r="N137" s="54" t="s">
        <v>21</v>
      </c>
      <c r="O137" s="54" t="s">
        <v>21</v>
      </c>
      <c r="P137" s="54" t="s">
        <v>21</v>
      </c>
      <c r="Q137" s="54" t="s">
        <v>19</v>
      </c>
      <c r="R137" s="166"/>
      <c r="S137" s="55" t="s">
        <v>0</v>
      </c>
      <c r="T137" s="1">
        <v>0</v>
      </c>
      <c r="U137" s="1">
        <v>0</v>
      </c>
      <c r="V137" s="1">
        <v>8600</v>
      </c>
      <c r="W137" s="1">
        <v>0</v>
      </c>
      <c r="X137" s="1">
        <v>0</v>
      </c>
      <c r="Y137" s="1">
        <v>0</v>
      </c>
      <c r="Z137" s="1">
        <v>0</v>
      </c>
      <c r="AA137" s="59">
        <f t="shared" ref="AA137" si="52">SUM(T137:Z137)</f>
        <v>8600</v>
      </c>
      <c r="AB137" s="58">
        <v>2020</v>
      </c>
      <c r="AD137" s="104"/>
      <c r="AE137" s="104"/>
    </row>
    <row r="138" spans="1:32" ht="31.2" x14ac:dyDescent="0.3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61" t="s">
        <v>74</v>
      </c>
      <c r="S138" s="62" t="s">
        <v>38</v>
      </c>
      <c r="T138" s="2">
        <v>0</v>
      </c>
      <c r="U138" s="2">
        <v>6</v>
      </c>
      <c r="V138" s="44">
        <v>4</v>
      </c>
      <c r="W138" s="44">
        <v>2</v>
      </c>
      <c r="X138" s="2">
        <v>3</v>
      </c>
      <c r="Y138" s="2">
        <v>3</v>
      </c>
      <c r="Z138" s="2">
        <v>3</v>
      </c>
      <c r="AA138" s="49">
        <f>SUM(T138:Z138)</f>
        <v>21</v>
      </c>
      <c r="AB138" s="142">
        <v>2024</v>
      </c>
      <c r="AD138" s="104"/>
      <c r="AE138" s="104"/>
    </row>
    <row r="139" spans="1:32" ht="31.2" customHeight="1" x14ac:dyDescent="0.3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61" t="s">
        <v>75</v>
      </c>
      <c r="S139" s="62" t="s">
        <v>52</v>
      </c>
      <c r="T139" s="4">
        <v>0</v>
      </c>
      <c r="U139" s="4">
        <v>58.4</v>
      </c>
      <c r="V139" s="3">
        <f>33.1+13.1</f>
        <v>46.2</v>
      </c>
      <c r="W139" s="3">
        <v>66.5</v>
      </c>
      <c r="X139" s="4">
        <v>64.3</v>
      </c>
      <c r="Y139" s="4">
        <v>64.3</v>
      </c>
      <c r="Z139" s="4">
        <v>64.3</v>
      </c>
      <c r="AA139" s="6">
        <f>SUM(T139:Z139)</f>
        <v>364</v>
      </c>
      <c r="AB139" s="41">
        <v>2024</v>
      </c>
      <c r="AD139" s="104"/>
      <c r="AE139" s="104"/>
    </row>
    <row r="140" spans="1:32" ht="31.2" x14ac:dyDescent="0.3">
      <c r="A140" s="54" t="s">
        <v>18</v>
      </c>
      <c r="B140" s="54" t="s">
        <v>18</v>
      </c>
      <c r="C140" s="54" t="s">
        <v>25</v>
      </c>
      <c r="D140" s="54" t="s">
        <v>18</v>
      </c>
      <c r="E140" s="54" t="s">
        <v>21</v>
      </c>
      <c r="F140" s="54" t="s">
        <v>18</v>
      </c>
      <c r="G140" s="54" t="s">
        <v>22</v>
      </c>
      <c r="H140" s="54" t="s">
        <v>19</v>
      </c>
      <c r="I140" s="54" t="s">
        <v>24</v>
      </c>
      <c r="J140" s="54" t="s">
        <v>18</v>
      </c>
      <c r="K140" s="54" t="s">
        <v>18</v>
      </c>
      <c r="L140" s="54" t="s">
        <v>19</v>
      </c>
      <c r="M140" s="54" t="s">
        <v>19</v>
      </c>
      <c r="N140" s="54" t="s">
        <v>19</v>
      </c>
      <c r="O140" s="54" t="s">
        <v>19</v>
      </c>
      <c r="P140" s="54" t="s">
        <v>177</v>
      </c>
      <c r="Q140" s="54" t="s">
        <v>18</v>
      </c>
      <c r="R140" s="68" t="s">
        <v>333</v>
      </c>
      <c r="S140" s="55" t="s">
        <v>0</v>
      </c>
      <c r="T140" s="59">
        <v>0</v>
      </c>
      <c r="U140" s="59">
        <f>103354.8-103354.8</f>
        <v>0</v>
      </c>
      <c r="V140" s="59">
        <v>1000</v>
      </c>
      <c r="W140" s="59">
        <v>0</v>
      </c>
      <c r="X140" s="59">
        <v>0</v>
      </c>
      <c r="Y140" s="59">
        <v>0</v>
      </c>
      <c r="Z140" s="59">
        <v>0</v>
      </c>
      <c r="AA140" s="59">
        <f>SUM(T140:Y140)</f>
        <v>1000</v>
      </c>
      <c r="AB140" s="58">
        <v>2020</v>
      </c>
      <c r="AD140" s="104"/>
      <c r="AE140" s="104"/>
    </row>
    <row r="141" spans="1:32" ht="31.2" x14ac:dyDescent="0.3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40" t="s">
        <v>332</v>
      </c>
      <c r="S141" s="41" t="s">
        <v>38</v>
      </c>
      <c r="T141" s="44">
        <v>0</v>
      </c>
      <c r="U141" s="44">
        <v>0</v>
      </c>
      <c r="V141" s="44">
        <v>1</v>
      </c>
      <c r="W141" s="44">
        <v>0</v>
      </c>
      <c r="X141" s="44">
        <v>0</v>
      </c>
      <c r="Y141" s="44">
        <v>0</v>
      </c>
      <c r="Z141" s="44">
        <v>0</v>
      </c>
      <c r="AA141" s="49">
        <f t="shared" ref="AA141" si="53">SUM(T141:Y141)</f>
        <v>1</v>
      </c>
      <c r="AB141" s="73">
        <v>2020</v>
      </c>
      <c r="AD141" s="104"/>
      <c r="AE141" s="104"/>
    </row>
    <row r="142" spans="1:32" ht="46.8" x14ac:dyDescent="0.3">
      <c r="A142" s="54"/>
      <c r="B142" s="54"/>
      <c r="C142" s="54"/>
      <c r="D142" s="54" t="s">
        <v>18</v>
      </c>
      <c r="E142" s="54" t="s">
        <v>21</v>
      </c>
      <c r="F142" s="54" t="s">
        <v>18</v>
      </c>
      <c r="G142" s="54" t="s">
        <v>22</v>
      </c>
      <c r="H142" s="54" t="s">
        <v>19</v>
      </c>
      <c r="I142" s="54" t="s">
        <v>24</v>
      </c>
      <c r="J142" s="54" t="s">
        <v>18</v>
      </c>
      <c r="K142" s="54" t="s">
        <v>18</v>
      </c>
      <c r="L142" s="54" t="s">
        <v>19</v>
      </c>
      <c r="M142" s="54" t="s">
        <v>43</v>
      </c>
      <c r="N142" s="54" t="s">
        <v>43</v>
      </c>
      <c r="O142" s="54" t="s">
        <v>43</v>
      </c>
      <c r="P142" s="54" t="s">
        <v>43</v>
      </c>
      <c r="Q142" s="54" t="s">
        <v>43</v>
      </c>
      <c r="R142" s="68" t="s">
        <v>336</v>
      </c>
      <c r="S142" s="58" t="s">
        <v>0</v>
      </c>
      <c r="T142" s="59">
        <v>0</v>
      </c>
      <c r="U142" s="59">
        <f>103354.8-103354.8</f>
        <v>0</v>
      </c>
      <c r="V142" s="59">
        <v>0</v>
      </c>
      <c r="W142" s="59">
        <f t="shared" ref="W142:Z143" si="54">W144+W146+W148+W150</f>
        <v>7000</v>
      </c>
      <c r="X142" s="59">
        <f t="shared" si="54"/>
        <v>7000</v>
      </c>
      <c r="Y142" s="59">
        <f t="shared" si="54"/>
        <v>7000</v>
      </c>
      <c r="Z142" s="59">
        <f t="shared" si="54"/>
        <v>7000</v>
      </c>
      <c r="AA142" s="59">
        <f t="shared" ref="AA142:AA151" si="55">SUM(T142:Z142)</f>
        <v>28000</v>
      </c>
      <c r="AB142" s="58">
        <v>2024</v>
      </c>
      <c r="AD142" s="104"/>
      <c r="AE142" s="104"/>
    </row>
    <row r="143" spans="1:32" ht="46.8" x14ac:dyDescent="0.3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40" t="s">
        <v>352</v>
      </c>
      <c r="S143" s="41" t="s">
        <v>52</v>
      </c>
      <c r="T143" s="44">
        <v>0</v>
      </c>
      <c r="U143" s="44">
        <v>0</v>
      </c>
      <c r="V143" s="44">
        <v>0</v>
      </c>
      <c r="W143" s="3">
        <f t="shared" ref="W143:Y143" si="56">W145+W147+W149+W151</f>
        <v>1153.5999999999999</v>
      </c>
      <c r="X143" s="3">
        <f t="shared" si="56"/>
        <v>1153.5999999999999</v>
      </c>
      <c r="Y143" s="3">
        <f t="shared" si="56"/>
        <v>1153.5999999999999</v>
      </c>
      <c r="Z143" s="3">
        <f t="shared" si="54"/>
        <v>1153.5999999999999</v>
      </c>
      <c r="AA143" s="49">
        <f t="shared" si="55"/>
        <v>4614.3999999999996</v>
      </c>
      <c r="AB143" s="41">
        <v>2024</v>
      </c>
      <c r="AD143" s="104"/>
      <c r="AE143" s="104"/>
    </row>
    <row r="144" spans="1:32" ht="46.8" x14ac:dyDescent="0.3">
      <c r="A144" s="54" t="s">
        <v>18</v>
      </c>
      <c r="B144" s="54" t="s">
        <v>18</v>
      </c>
      <c r="C144" s="54" t="s">
        <v>22</v>
      </c>
      <c r="D144" s="54" t="s">
        <v>18</v>
      </c>
      <c r="E144" s="54" t="s">
        <v>21</v>
      </c>
      <c r="F144" s="54" t="s">
        <v>18</v>
      </c>
      <c r="G144" s="54" t="s">
        <v>22</v>
      </c>
      <c r="H144" s="54" t="s">
        <v>19</v>
      </c>
      <c r="I144" s="54" t="s">
        <v>24</v>
      </c>
      <c r="J144" s="54" t="s">
        <v>18</v>
      </c>
      <c r="K144" s="54" t="s">
        <v>18</v>
      </c>
      <c r="L144" s="54" t="s">
        <v>19</v>
      </c>
      <c r="M144" s="54" t="s">
        <v>43</v>
      </c>
      <c r="N144" s="54" t="s">
        <v>43</v>
      </c>
      <c r="O144" s="54" t="s">
        <v>43</v>
      </c>
      <c r="P144" s="54" t="s">
        <v>43</v>
      </c>
      <c r="Q144" s="54" t="s">
        <v>43</v>
      </c>
      <c r="R144" s="68" t="s">
        <v>336</v>
      </c>
      <c r="S144" s="55" t="s">
        <v>0</v>
      </c>
      <c r="T144" s="59">
        <v>0</v>
      </c>
      <c r="U144" s="59">
        <f t="shared" ref="U144" si="57">103354.8-103354.8</f>
        <v>0</v>
      </c>
      <c r="V144" s="59">
        <v>0</v>
      </c>
      <c r="W144" s="1">
        <v>2000</v>
      </c>
      <c r="X144" s="1">
        <v>2000</v>
      </c>
      <c r="Y144" s="1">
        <v>2000</v>
      </c>
      <c r="Z144" s="1">
        <v>2000</v>
      </c>
      <c r="AA144" s="59">
        <f t="shared" si="55"/>
        <v>8000</v>
      </c>
      <c r="AB144" s="58">
        <v>2024</v>
      </c>
      <c r="AD144" s="104"/>
      <c r="AE144" s="104"/>
    </row>
    <row r="145" spans="1:31" ht="46.8" x14ac:dyDescent="0.3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74" t="s">
        <v>353</v>
      </c>
      <c r="S145" s="41" t="s">
        <v>52</v>
      </c>
      <c r="T145" s="44">
        <v>0</v>
      </c>
      <c r="U145" s="44">
        <v>0</v>
      </c>
      <c r="V145" s="44">
        <v>0</v>
      </c>
      <c r="W145" s="3">
        <v>312</v>
      </c>
      <c r="X145" s="3">
        <v>312</v>
      </c>
      <c r="Y145" s="3">
        <v>312</v>
      </c>
      <c r="Z145" s="3">
        <v>312</v>
      </c>
      <c r="AA145" s="6">
        <f t="shared" si="55"/>
        <v>1248</v>
      </c>
      <c r="AB145" s="41">
        <v>2024</v>
      </c>
      <c r="AD145" s="104"/>
      <c r="AE145" s="104"/>
    </row>
    <row r="146" spans="1:31" ht="46.8" x14ac:dyDescent="0.3">
      <c r="A146" s="54" t="s">
        <v>18</v>
      </c>
      <c r="B146" s="54" t="s">
        <v>18</v>
      </c>
      <c r="C146" s="54" t="s">
        <v>24</v>
      </c>
      <c r="D146" s="54" t="s">
        <v>18</v>
      </c>
      <c r="E146" s="54" t="s">
        <v>21</v>
      </c>
      <c r="F146" s="54" t="s">
        <v>18</v>
      </c>
      <c r="G146" s="54" t="s">
        <v>22</v>
      </c>
      <c r="H146" s="54" t="s">
        <v>19</v>
      </c>
      <c r="I146" s="54" t="s">
        <v>24</v>
      </c>
      <c r="J146" s="54" t="s">
        <v>18</v>
      </c>
      <c r="K146" s="54" t="s">
        <v>18</v>
      </c>
      <c r="L146" s="54" t="s">
        <v>19</v>
      </c>
      <c r="M146" s="54" t="s">
        <v>43</v>
      </c>
      <c r="N146" s="54" t="s">
        <v>43</v>
      </c>
      <c r="O146" s="54" t="s">
        <v>43</v>
      </c>
      <c r="P146" s="54" t="s">
        <v>43</v>
      </c>
      <c r="Q146" s="54" t="s">
        <v>43</v>
      </c>
      <c r="R146" s="68" t="s">
        <v>336</v>
      </c>
      <c r="S146" s="55" t="s">
        <v>0</v>
      </c>
      <c r="T146" s="59">
        <v>0</v>
      </c>
      <c r="U146" s="59">
        <f t="shared" ref="U146" si="58">103354.8-103354.8</f>
        <v>0</v>
      </c>
      <c r="V146" s="59">
        <v>0</v>
      </c>
      <c r="W146" s="1">
        <v>1500</v>
      </c>
      <c r="X146" s="1">
        <v>1500</v>
      </c>
      <c r="Y146" s="1">
        <v>1500</v>
      </c>
      <c r="Z146" s="1">
        <v>1500</v>
      </c>
      <c r="AA146" s="59">
        <f t="shared" si="55"/>
        <v>6000</v>
      </c>
      <c r="AB146" s="58">
        <v>2024</v>
      </c>
      <c r="AD146" s="104"/>
      <c r="AE146" s="104"/>
    </row>
    <row r="147" spans="1:31" ht="46.8" x14ac:dyDescent="0.3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61" t="s">
        <v>354</v>
      </c>
      <c r="S147" s="41" t="s">
        <v>52</v>
      </c>
      <c r="T147" s="44">
        <v>0</v>
      </c>
      <c r="U147" s="44">
        <v>0</v>
      </c>
      <c r="V147" s="44">
        <v>0</v>
      </c>
      <c r="W147" s="3">
        <v>295.60000000000002</v>
      </c>
      <c r="X147" s="3">
        <v>295.60000000000002</v>
      </c>
      <c r="Y147" s="3">
        <v>295.60000000000002</v>
      </c>
      <c r="Z147" s="3">
        <v>295.60000000000002</v>
      </c>
      <c r="AA147" s="6">
        <f t="shared" si="55"/>
        <v>1182.4000000000001</v>
      </c>
      <c r="AB147" s="41">
        <v>2024</v>
      </c>
      <c r="AD147" s="104"/>
      <c r="AE147" s="104"/>
    </row>
    <row r="148" spans="1:31" ht="46.8" x14ac:dyDescent="0.3">
      <c r="A148" s="54" t="s">
        <v>18</v>
      </c>
      <c r="B148" s="54" t="s">
        <v>18</v>
      </c>
      <c r="C148" s="54" t="s">
        <v>21</v>
      </c>
      <c r="D148" s="54" t="s">
        <v>18</v>
      </c>
      <c r="E148" s="54" t="s">
        <v>21</v>
      </c>
      <c r="F148" s="54" t="s">
        <v>18</v>
      </c>
      <c r="G148" s="54" t="s">
        <v>22</v>
      </c>
      <c r="H148" s="54" t="s">
        <v>19</v>
      </c>
      <c r="I148" s="54" t="s">
        <v>24</v>
      </c>
      <c r="J148" s="54" t="s">
        <v>18</v>
      </c>
      <c r="K148" s="54" t="s">
        <v>18</v>
      </c>
      <c r="L148" s="54" t="s">
        <v>19</v>
      </c>
      <c r="M148" s="54" t="s">
        <v>43</v>
      </c>
      <c r="N148" s="54" t="s">
        <v>43</v>
      </c>
      <c r="O148" s="54" t="s">
        <v>43</v>
      </c>
      <c r="P148" s="54" t="s">
        <v>43</v>
      </c>
      <c r="Q148" s="54" t="s">
        <v>43</v>
      </c>
      <c r="R148" s="68" t="s">
        <v>336</v>
      </c>
      <c r="S148" s="55" t="s">
        <v>0</v>
      </c>
      <c r="T148" s="59">
        <v>0</v>
      </c>
      <c r="U148" s="59">
        <f t="shared" ref="U148" si="59">103354.8-103354.8</f>
        <v>0</v>
      </c>
      <c r="V148" s="59">
        <v>0</v>
      </c>
      <c r="W148" s="1">
        <v>2000</v>
      </c>
      <c r="X148" s="1">
        <v>2000</v>
      </c>
      <c r="Y148" s="1">
        <v>2000</v>
      </c>
      <c r="Z148" s="1">
        <v>2000</v>
      </c>
      <c r="AA148" s="59">
        <f t="shared" si="55"/>
        <v>8000</v>
      </c>
      <c r="AB148" s="58">
        <v>2024</v>
      </c>
      <c r="AD148" s="104"/>
      <c r="AE148" s="104"/>
    </row>
    <row r="149" spans="1:31" ht="46.8" x14ac:dyDescent="0.3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40" t="s">
        <v>355</v>
      </c>
      <c r="S149" s="41" t="s">
        <v>52</v>
      </c>
      <c r="T149" s="44">
        <v>0</v>
      </c>
      <c r="U149" s="44">
        <v>0</v>
      </c>
      <c r="V149" s="44">
        <v>0</v>
      </c>
      <c r="W149" s="3">
        <v>312</v>
      </c>
      <c r="X149" s="3">
        <v>312</v>
      </c>
      <c r="Y149" s="3">
        <v>312</v>
      </c>
      <c r="Z149" s="3">
        <v>312</v>
      </c>
      <c r="AA149" s="6">
        <f t="shared" si="55"/>
        <v>1248</v>
      </c>
      <c r="AB149" s="41">
        <v>2024</v>
      </c>
      <c r="AD149" s="104"/>
      <c r="AE149" s="104"/>
    </row>
    <row r="150" spans="1:31" ht="46.8" x14ac:dyDescent="0.3">
      <c r="A150" s="54" t="s">
        <v>18</v>
      </c>
      <c r="B150" s="54" t="s">
        <v>18</v>
      </c>
      <c r="C150" s="54" t="s">
        <v>25</v>
      </c>
      <c r="D150" s="54" t="s">
        <v>18</v>
      </c>
      <c r="E150" s="54" t="s">
        <v>21</v>
      </c>
      <c r="F150" s="54" t="s">
        <v>18</v>
      </c>
      <c r="G150" s="54" t="s">
        <v>22</v>
      </c>
      <c r="H150" s="54" t="s">
        <v>19</v>
      </c>
      <c r="I150" s="54" t="s">
        <v>24</v>
      </c>
      <c r="J150" s="54" t="s">
        <v>18</v>
      </c>
      <c r="K150" s="54" t="s">
        <v>18</v>
      </c>
      <c r="L150" s="54" t="s">
        <v>19</v>
      </c>
      <c r="M150" s="54" t="s">
        <v>43</v>
      </c>
      <c r="N150" s="54" t="s">
        <v>43</v>
      </c>
      <c r="O150" s="54" t="s">
        <v>43</v>
      </c>
      <c r="P150" s="54" t="s">
        <v>43</v>
      </c>
      <c r="Q150" s="54" t="s">
        <v>43</v>
      </c>
      <c r="R150" s="68" t="s">
        <v>336</v>
      </c>
      <c r="S150" s="55" t="s">
        <v>0</v>
      </c>
      <c r="T150" s="59">
        <v>0</v>
      </c>
      <c r="U150" s="59">
        <f t="shared" ref="U150" si="60">103354.8-103354.8</f>
        <v>0</v>
      </c>
      <c r="V150" s="59">
        <v>0</v>
      </c>
      <c r="W150" s="1">
        <v>1500</v>
      </c>
      <c r="X150" s="1">
        <v>1500</v>
      </c>
      <c r="Y150" s="1">
        <v>1500</v>
      </c>
      <c r="Z150" s="1">
        <v>1500</v>
      </c>
      <c r="AA150" s="59">
        <f t="shared" si="55"/>
        <v>6000</v>
      </c>
      <c r="AB150" s="58">
        <v>2024</v>
      </c>
      <c r="AD150" s="104"/>
      <c r="AE150" s="104"/>
    </row>
    <row r="151" spans="1:31" ht="46.8" x14ac:dyDescent="0.3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40" t="s">
        <v>356</v>
      </c>
      <c r="S151" s="41" t="s">
        <v>52</v>
      </c>
      <c r="T151" s="44">
        <v>0</v>
      </c>
      <c r="U151" s="44">
        <v>0</v>
      </c>
      <c r="V151" s="44">
        <v>0</v>
      </c>
      <c r="W151" s="3">
        <v>234</v>
      </c>
      <c r="X151" s="3">
        <v>234</v>
      </c>
      <c r="Y151" s="3">
        <v>234</v>
      </c>
      <c r="Z151" s="3">
        <v>234</v>
      </c>
      <c r="AA151" s="6">
        <f t="shared" si="55"/>
        <v>936</v>
      </c>
      <c r="AB151" s="41">
        <v>2024</v>
      </c>
      <c r="AD151" s="104"/>
      <c r="AE151" s="104"/>
    </row>
    <row r="152" spans="1:31" s="51" customFormat="1" ht="31.2" x14ac:dyDescent="0.3">
      <c r="A152" s="46"/>
      <c r="B152" s="46"/>
      <c r="C152" s="46"/>
      <c r="D152" s="46"/>
      <c r="E152" s="46"/>
      <c r="F152" s="46"/>
      <c r="G152" s="46"/>
      <c r="H152" s="46" t="s">
        <v>19</v>
      </c>
      <c r="I152" s="46" t="s">
        <v>24</v>
      </c>
      <c r="J152" s="46" t="s">
        <v>18</v>
      </c>
      <c r="K152" s="46" t="s">
        <v>18</v>
      </c>
      <c r="L152" s="46" t="s">
        <v>20</v>
      </c>
      <c r="M152" s="46" t="s">
        <v>18</v>
      </c>
      <c r="N152" s="46" t="s">
        <v>18</v>
      </c>
      <c r="O152" s="46" t="s">
        <v>18</v>
      </c>
      <c r="P152" s="46" t="s">
        <v>18</v>
      </c>
      <c r="Q152" s="46" t="s">
        <v>18</v>
      </c>
      <c r="R152" s="75" t="s">
        <v>56</v>
      </c>
      <c r="S152" s="149" t="s">
        <v>0</v>
      </c>
      <c r="T152" s="148">
        <f>T175+T218+T161+T473</f>
        <v>147061.215</v>
      </c>
      <c r="U152" s="148">
        <f>U175+U218+U161+U473</f>
        <v>108807.59999999998</v>
      </c>
      <c r="V152" s="148">
        <f>V175+V218+V161+V473</f>
        <v>7655.1</v>
      </c>
      <c r="W152" s="148">
        <f>W175+W218+W161+W473+W493</f>
        <v>21089.1</v>
      </c>
      <c r="X152" s="148">
        <f t="shared" ref="X152:Z152" si="61">X175+X218+X161+X473+X493</f>
        <v>10000</v>
      </c>
      <c r="Y152" s="148">
        <f t="shared" si="61"/>
        <v>10000</v>
      </c>
      <c r="Z152" s="148">
        <f t="shared" si="61"/>
        <v>18990.3</v>
      </c>
      <c r="AA152" s="148">
        <f>SUM(T152:Z152)</f>
        <v>323603.31499999994</v>
      </c>
      <c r="AB152" s="149">
        <v>2024</v>
      </c>
      <c r="AC152" s="111"/>
      <c r="AD152" s="50"/>
    </row>
    <row r="153" spans="1:31" s="51" customFormat="1" ht="31.2" x14ac:dyDescent="0.3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237</v>
      </c>
      <c r="S153" s="41" t="s">
        <v>38</v>
      </c>
      <c r="T153" s="2">
        <f t="shared" ref="T153:V153" si="62">T474+T180+T220</f>
        <v>58</v>
      </c>
      <c r="U153" s="44">
        <f>U474+U180+U220</f>
        <v>42</v>
      </c>
      <c r="V153" s="2">
        <f t="shared" si="62"/>
        <v>7</v>
      </c>
      <c r="W153" s="2">
        <f>W474+W180+W220+W495</f>
        <v>7</v>
      </c>
      <c r="X153" s="2">
        <f t="shared" ref="X153:Z153" si="63">X474+X180+X220+X495</f>
        <v>10</v>
      </c>
      <c r="Y153" s="2">
        <f t="shared" si="63"/>
        <v>10</v>
      </c>
      <c r="Z153" s="2">
        <f t="shared" si="63"/>
        <v>37</v>
      </c>
      <c r="AA153" s="45">
        <f>SUM(T153:Z153)</f>
        <v>171</v>
      </c>
      <c r="AB153" s="41">
        <v>2024</v>
      </c>
      <c r="AC153" s="91"/>
      <c r="AD153" s="50"/>
    </row>
    <row r="154" spans="1:31" s="51" customFormat="1" ht="31.2" x14ac:dyDescent="0.3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238</v>
      </c>
      <c r="S154" s="41" t="s">
        <v>52</v>
      </c>
      <c r="T154" s="4">
        <f>T474+T178+T219</f>
        <v>63</v>
      </c>
      <c r="U154" s="4">
        <f t="shared" ref="U154:V154" si="64">U475+U178+U219</f>
        <v>42.2</v>
      </c>
      <c r="V154" s="4">
        <f t="shared" si="64"/>
        <v>1.7000000000000002</v>
      </c>
      <c r="W154" s="4">
        <f>W475+W178+W219+W494</f>
        <v>9</v>
      </c>
      <c r="X154" s="4">
        <f t="shared" ref="X154:Z154" si="65">X475+X178+X219+X494</f>
        <v>10</v>
      </c>
      <c r="Y154" s="4">
        <f t="shared" si="65"/>
        <v>10</v>
      </c>
      <c r="Z154" s="4">
        <f t="shared" si="65"/>
        <v>65.2</v>
      </c>
      <c r="AA154" s="5">
        <f>SUM(T154:Z154)</f>
        <v>201.10000000000002</v>
      </c>
      <c r="AB154" s="41">
        <v>2024</v>
      </c>
      <c r="AC154" s="111"/>
      <c r="AD154" s="50"/>
    </row>
    <row r="155" spans="1:31" s="8" customFormat="1" ht="46.8" x14ac:dyDescent="0.3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61" t="s">
        <v>129</v>
      </c>
      <c r="S155" s="142" t="s">
        <v>9</v>
      </c>
      <c r="T155" s="3">
        <f>((4338+39.6)+63)/13987*100</f>
        <v>31.748051762350755</v>
      </c>
      <c r="U155" s="3">
        <f>((4338+39.6)+T154+U154)/13987*100</f>
        <v>32.049760491885323</v>
      </c>
      <c r="V155" s="3">
        <f>((4338+39.6)+U154+V154+T154)/13987*100</f>
        <v>32.061914635018226</v>
      </c>
      <c r="W155" s="3">
        <f>((4338+39.6)+T154+V154+W154+U154)/13987*100</f>
        <v>32.126260098663046</v>
      </c>
      <c r="X155" s="3">
        <f>((4338+39.6)+T154+U154+W154+X154+V154)/13987*100</f>
        <v>32.197755058268392</v>
      </c>
      <c r="Y155" s="3">
        <f>((4338+39.6)+T154+U154+V154+X154+Y154+W154)/13987*100</f>
        <v>32.269250017873738</v>
      </c>
      <c r="Z155" s="3">
        <f>((4338+39.6)+T154+U154+V154+W154+Y154+Z154+X154)/13987*100</f>
        <v>32.735397154500603</v>
      </c>
      <c r="AA155" s="5">
        <f>Z155</f>
        <v>32.735397154500603</v>
      </c>
      <c r="AB155" s="41">
        <v>2024</v>
      </c>
      <c r="AC155" s="103"/>
      <c r="AD155" s="60"/>
    </row>
    <row r="156" spans="1:31" ht="46.8" x14ac:dyDescent="0.3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5" t="s">
        <v>130</v>
      </c>
      <c r="S156" s="142" t="s">
        <v>9</v>
      </c>
      <c r="T156" s="3">
        <f>30/58*100</f>
        <v>51.724137931034484</v>
      </c>
      <c r="U156" s="3">
        <f>22/42*100</f>
        <v>52.380952380952387</v>
      </c>
      <c r="V156" s="3">
        <f>7/7*100</f>
        <v>100</v>
      </c>
      <c r="W156" s="4">
        <v>91</v>
      </c>
      <c r="X156" s="4">
        <v>91</v>
      </c>
      <c r="Y156" s="4">
        <v>91</v>
      </c>
      <c r="Z156" s="4">
        <v>91</v>
      </c>
      <c r="AA156" s="5">
        <v>91</v>
      </c>
      <c r="AB156" s="41">
        <v>2024</v>
      </c>
      <c r="AC156" s="111"/>
    </row>
    <row r="157" spans="1:31" ht="46.95" customHeight="1" x14ac:dyDescent="0.3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5" t="s">
        <v>262</v>
      </c>
      <c r="S157" s="142" t="s">
        <v>263</v>
      </c>
      <c r="T157" s="4">
        <v>0</v>
      </c>
      <c r="U157" s="4">
        <v>0</v>
      </c>
      <c r="V157" s="4">
        <v>0</v>
      </c>
      <c r="W157" s="4">
        <v>23.7</v>
      </c>
      <c r="X157" s="4">
        <v>23.7</v>
      </c>
      <c r="Y157" s="4">
        <v>23.7</v>
      </c>
      <c r="Z157" s="4">
        <v>23.7</v>
      </c>
      <c r="AA157" s="5">
        <v>23.7</v>
      </c>
      <c r="AB157" s="41">
        <v>2024</v>
      </c>
      <c r="AC157" s="111"/>
    </row>
    <row r="158" spans="1:31" s="51" customFormat="1" ht="31.2" x14ac:dyDescent="0.3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131</v>
      </c>
      <c r="S158" s="41" t="s">
        <v>9</v>
      </c>
      <c r="T158" s="3">
        <f>27.6/336.9*100</f>
        <v>8.1923419412288521</v>
      </c>
      <c r="U158" s="3">
        <f>11.3/336.9*100</f>
        <v>3.3541110121697839</v>
      </c>
      <c r="V158" s="3">
        <f>2/336.9*100</f>
        <v>0.59364796675571385</v>
      </c>
      <c r="W158" s="3">
        <v>43.1</v>
      </c>
      <c r="X158" s="3">
        <v>43.1</v>
      </c>
      <c r="Y158" s="3">
        <v>43.1</v>
      </c>
      <c r="Z158" s="3">
        <v>43.1</v>
      </c>
      <c r="AA158" s="6">
        <v>43.1</v>
      </c>
      <c r="AB158" s="41">
        <v>2024</v>
      </c>
      <c r="AC158" s="111"/>
      <c r="AD158" s="50"/>
    </row>
    <row r="159" spans="1:31" s="51" customFormat="1" ht="46.8" x14ac:dyDescent="0.3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141" t="s">
        <v>132</v>
      </c>
      <c r="S159" s="55" t="s">
        <v>41</v>
      </c>
      <c r="T159" s="56">
        <v>0</v>
      </c>
      <c r="U159" s="56">
        <v>0</v>
      </c>
      <c r="V159" s="56">
        <v>0</v>
      </c>
      <c r="W159" s="56">
        <v>1</v>
      </c>
      <c r="X159" s="56">
        <v>1</v>
      </c>
      <c r="Y159" s="56">
        <v>1</v>
      </c>
      <c r="Z159" s="56">
        <v>1</v>
      </c>
      <c r="AA159" s="57">
        <v>1</v>
      </c>
      <c r="AB159" s="58">
        <v>2024</v>
      </c>
      <c r="AC159" s="111"/>
      <c r="AD159" s="50"/>
    </row>
    <row r="160" spans="1:31" s="51" customFormat="1" ht="31.2" x14ac:dyDescent="0.3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72</v>
      </c>
      <c r="S160" s="41" t="s">
        <v>38</v>
      </c>
      <c r="T160" s="44">
        <v>0</v>
      </c>
      <c r="U160" s="44">
        <v>0</v>
      </c>
      <c r="V160" s="44">
        <f t="shared" ref="V160:Z160" si="66">V474</f>
        <v>0</v>
      </c>
      <c r="W160" s="44">
        <v>2</v>
      </c>
      <c r="X160" s="44">
        <f t="shared" si="66"/>
        <v>5</v>
      </c>
      <c r="Y160" s="44">
        <f t="shared" si="66"/>
        <v>5</v>
      </c>
      <c r="Z160" s="44">
        <f t="shared" si="66"/>
        <v>30</v>
      </c>
      <c r="AA160" s="49">
        <f>SUM(T160:Z160)</f>
        <v>42</v>
      </c>
      <c r="AB160" s="41">
        <v>2024</v>
      </c>
      <c r="AC160" s="117"/>
      <c r="AD160" s="113"/>
      <c r="AE160" s="113"/>
    </row>
    <row r="161" spans="1:31" s="51" customFormat="1" ht="31.2" x14ac:dyDescent="0.3">
      <c r="A161" s="54"/>
      <c r="B161" s="54"/>
      <c r="C161" s="54"/>
      <c r="D161" s="54" t="s">
        <v>18</v>
      </c>
      <c r="E161" s="54" t="s">
        <v>21</v>
      </c>
      <c r="F161" s="54" t="s">
        <v>18</v>
      </c>
      <c r="G161" s="54" t="s">
        <v>22</v>
      </c>
      <c r="H161" s="54" t="s">
        <v>19</v>
      </c>
      <c r="I161" s="54" t="s">
        <v>24</v>
      </c>
      <c r="J161" s="54" t="s">
        <v>18</v>
      </c>
      <c r="K161" s="54" t="s">
        <v>18</v>
      </c>
      <c r="L161" s="54" t="s">
        <v>20</v>
      </c>
      <c r="M161" s="54" t="s">
        <v>43</v>
      </c>
      <c r="N161" s="54" t="s">
        <v>43</v>
      </c>
      <c r="O161" s="54" t="s">
        <v>43</v>
      </c>
      <c r="P161" s="54" t="s">
        <v>43</v>
      </c>
      <c r="Q161" s="54" t="s">
        <v>43</v>
      </c>
      <c r="R161" s="141" t="s">
        <v>266</v>
      </c>
      <c r="S161" s="58" t="s">
        <v>0</v>
      </c>
      <c r="T161" s="59">
        <f t="shared" ref="T161:Y161" si="67">T163+T165+T167+T169</f>
        <v>1307</v>
      </c>
      <c r="U161" s="59">
        <f t="shared" si="67"/>
        <v>0</v>
      </c>
      <c r="V161" s="59">
        <f t="shared" si="67"/>
        <v>0</v>
      </c>
      <c r="W161" s="59">
        <f t="shared" si="67"/>
        <v>0</v>
      </c>
      <c r="X161" s="59">
        <f t="shared" si="67"/>
        <v>0</v>
      </c>
      <c r="Y161" s="59">
        <f t="shared" si="67"/>
        <v>0</v>
      </c>
      <c r="Z161" s="59">
        <f t="shared" ref="Z161" si="68">Z163+Z165+Z167+Z169</f>
        <v>0</v>
      </c>
      <c r="AA161" s="59">
        <f>SUM(T161:Y161)</f>
        <v>1307</v>
      </c>
      <c r="AB161" s="58">
        <v>2018</v>
      </c>
      <c r="AC161" s="111"/>
      <c r="AD161" s="113"/>
      <c r="AE161" s="113"/>
    </row>
    <row r="162" spans="1:31" s="51" customFormat="1" ht="46.8" x14ac:dyDescent="0.3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78" t="s">
        <v>279</v>
      </c>
      <c r="S162" s="52" t="s">
        <v>38</v>
      </c>
      <c r="T162" s="44">
        <f>T164+T166+T168+T170</f>
        <v>39</v>
      </c>
      <c r="U162" s="44">
        <f t="shared" ref="U162:Y162" si="69">U164+U166+U168+U170</f>
        <v>0</v>
      </c>
      <c r="V162" s="44">
        <f t="shared" si="69"/>
        <v>0</v>
      </c>
      <c r="W162" s="44">
        <f t="shared" si="69"/>
        <v>0</v>
      </c>
      <c r="X162" s="44">
        <f t="shared" si="69"/>
        <v>0</v>
      </c>
      <c r="Y162" s="44">
        <f t="shared" si="69"/>
        <v>0</v>
      </c>
      <c r="Z162" s="44">
        <f t="shared" ref="Z162" si="70">Z164+Z166+Z168+Z170</f>
        <v>0</v>
      </c>
      <c r="AA162" s="49">
        <f>T162</f>
        <v>39</v>
      </c>
      <c r="AB162" s="41">
        <v>2018</v>
      </c>
      <c r="AC162" s="111"/>
      <c r="AD162" s="113"/>
      <c r="AE162" s="113"/>
    </row>
    <row r="163" spans="1:31" s="51" customFormat="1" ht="30" customHeight="1" x14ac:dyDescent="0.3">
      <c r="A163" s="54" t="s">
        <v>18</v>
      </c>
      <c r="B163" s="54" t="s">
        <v>18</v>
      </c>
      <c r="C163" s="54" t="s">
        <v>22</v>
      </c>
      <c r="D163" s="54" t="s">
        <v>18</v>
      </c>
      <c r="E163" s="54" t="s">
        <v>21</v>
      </c>
      <c r="F163" s="54" t="s">
        <v>18</v>
      </c>
      <c r="G163" s="54" t="s">
        <v>22</v>
      </c>
      <c r="H163" s="54" t="s">
        <v>19</v>
      </c>
      <c r="I163" s="54" t="s">
        <v>24</v>
      </c>
      <c r="J163" s="54" t="s">
        <v>18</v>
      </c>
      <c r="K163" s="54" t="s">
        <v>18</v>
      </c>
      <c r="L163" s="54" t="s">
        <v>20</v>
      </c>
      <c r="M163" s="54" t="s">
        <v>43</v>
      </c>
      <c r="N163" s="54" t="s">
        <v>43</v>
      </c>
      <c r="O163" s="54" t="s">
        <v>43</v>
      </c>
      <c r="P163" s="54" t="s">
        <v>43</v>
      </c>
      <c r="Q163" s="54" t="s">
        <v>43</v>
      </c>
      <c r="R163" s="141" t="s">
        <v>266</v>
      </c>
      <c r="S163" s="55" t="s">
        <v>0</v>
      </c>
      <c r="T163" s="1">
        <v>474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59">
        <f>SUM(T163:Y163)</f>
        <v>474</v>
      </c>
      <c r="AB163" s="58">
        <v>2018</v>
      </c>
      <c r="AC163" s="121"/>
      <c r="AD163" s="114"/>
      <c r="AE163" s="114"/>
    </row>
    <row r="164" spans="1:31" s="51" customFormat="1" ht="62.4" x14ac:dyDescent="0.3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 t="s">
        <v>280</v>
      </c>
      <c r="S164" s="52" t="s">
        <v>38</v>
      </c>
      <c r="T164" s="44">
        <v>15</v>
      </c>
      <c r="U164" s="44">
        <v>0</v>
      </c>
      <c r="V164" s="44">
        <v>0</v>
      </c>
      <c r="W164" s="44">
        <v>0</v>
      </c>
      <c r="X164" s="44">
        <v>0</v>
      </c>
      <c r="Y164" s="44">
        <v>0</v>
      </c>
      <c r="Z164" s="44">
        <v>0</v>
      </c>
      <c r="AA164" s="49">
        <f>T164+U164+V164+W164+X164</f>
        <v>15</v>
      </c>
      <c r="AB164" s="41">
        <v>2018</v>
      </c>
      <c r="AC164" s="111"/>
      <c r="AD164" s="50"/>
    </row>
    <row r="165" spans="1:31" s="136" customFormat="1" ht="31.2" x14ac:dyDescent="0.3">
      <c r="A165" s="54" t="s">
        <v>18</v>
      </c>
      <c r="B165" s="54" t="s">
        <v>18</v>
      </c>
      <c r="C165" s="54" t="s">
        <v>24</v>
      </c>
      <c r="D165" s="54" t="s">
        <v>18</v>
      </c>
      <c r="E165" s="54" t="s">
        <v>21</v>
      </c>
      <c r="F165" s="54" t="s">
        <v>18</v>
      </c>
      <c r="G165" s="54" t="s">
        <v>22</v>
      </c>
      <c r="H165" s="54" t="s">
        <v>19</v>
      </c>
      <c r="I165" s="54" t="s">
        <v>24</v>
      </c>
      <c r="J165" s="54" t="s">
        <v>18</v>
      </c>
      <c r="K165" s="54" t="s">
        <v>18</v>
      </c>
      <c r="L165" s="54" t="s">
        <v>20</v>
      </c>
      <c r="M165" s="54" t="s">
        <v>43</v>
      </c>
      <c r="N165" s="54" t="s">
        <v>43</v>
      </c>
      <c r="O165" s="54" t="s">
        <v>43</v>
      </c>
      <c r="P165" s="54" t="s">
        <v>43</v>
      </c>
      <c r="Q165" s="54" t="s">
        <v>43</v>
      </c>
      <c r="R165" s="141" t="s">
        <v>266</v>
      </c>
      <c r="S165" s="55" t="s">
        <v>0</v>
      </c>
      <c r="T165" s="1">
        <f>0+126+400-100</f>
        <v>426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59">
        <f t="shared" ref="AA165:AA170" si="71">SUM(T165:Y165)</f>
        <v>426</v>
      </c>
      <c r="AB165" s="58">
        <v>2018</v>
      </c>
      <c r="AC165" s="134"/>
      <c r="AD165" s="135"/>
      <c r="AE165" s="135"/>
    </row>
    <row r="166" spans="1:31" s="51" customFormat="1" ht="62.4" x14ac:dyDescent="0.3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281</v>
      </c>
      <c r="S166" s="52" t="s">
        <v>38</v>
      </c>
      <c r="T166" s="44">
        <v>4</v>
      </c>
      <c r="U166" s="44">
        <v>0</v>
      </c>
      <c r="V166" s="44">
        <v>0</v>
      </c>
      <c r="W166" s="44">
        <v>0</v>
      </c>
      <c r="X166" s="44">
        <v>0</v>
      </c>
      <c r="Y166" s="44">
        <v>0</v>
      </c>
      <c r="Z166" s="44">
        <v>0</v>
      </c>
      <c r="AA166" s="49">
        <f t="shared" si="71"/>
        <v>4</v>
      </c>
      <c r="AB166" s="41">
        <v>2018</v>
      </c>
      <c r="AC166" s="112"/>
      <c r="AD166" s="113"/>
    </row>
    <row r="167" spans="1:31" s="51" customFormat="1" ht="31.2" x14ac:dyDescent="0.3">
      <c r="A167" s="54" t="s">
        <v>18</v>
      </c>
      <c r="B167" s="54" t="s">
        <v>18</v>
      </c>
      <c r="C167" s="54" t="s">
        <v>21</v>
      </c>
      <c r="D167" s="54" t="s">
        <v>18</v>
      </c>
      <c r="E167" s="54" t="s">
        <v>21</v>
      </c>
      <c r="F167" s="54" t="s">
        <v>18</v>
      </c>
      <c r="G167" s="54" t="s">
        <v>22</v>
      </c>
      <c r="H167" s="54" t="s">
        <v>19</v>
      </c>
      <c r="I167" s="54" t="s">
        <v>24</v>
      </c>
      <c r="J167" s="54" t="s">
        <v>18</v>
      </c>
      <c r="K167" s="54" t="s">
        <v>18</v>
      </c>
      <c r="L167" s="54" t="s">
        <v>20</v>
      </c>
      <c r="M167" s="54" t="s">
        <v>43</v>
      </c>
      <c r="N167" s="54" t="s">
        <v>43</v>
      </c>
      <c r="O167" s="54" t="s">
        <v>43</v>
      </c>
      <c r="P167" s="54" t="s">
        <v>43</v>
      </c>
      <c r="Q167" s="54" t="s">
        <v>43</v>
      </c>
      <c r="R167" s="141" t="s">
        <v>266</v>
      </c>
      <c r="S167" s="55" t="s">
        <v>0</v>
      </c>
      <c r="T167" s="1">
        <v>250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59">
        <f t="shared" si="71"/>
        <v>250</v>
      </c>
      <c r="AB167" s="58">
        <v>2018</v>
      </c>
      <c r="AC167" s="33"/>
      <c r="AD167" s="113"/>
      <c r="AE167" s="113"/>
    </row>
    <row r="168" spans="1:31" s="51" customFormat="1" ht="62.4" x14ac:dyDescent="0.3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282</v>
      </c>
      <c r="S168" s="52" t="s">
        <v>38</v>
      </c>
      <c r="T168" s="44">
        <v>16</v>
      </c>
      <c r="U168" s="44">
        <v>0</v>
      </c>
      <c r="V168" s="44">
        <v>0</v>
      </c>
      <c r="W168" s="44">
        <v>0</v>
      </c>
      <c r="X168" s="44">
        <v>0</v>
      </c>
      <c r="Y168" s="44">
        <v>0</v>
      </c>
      <c r="Z168" s="44">
        <v>0</v>
      </c>
      <c r="AA168" s="49">
        <f t="shared" si="71"/>
        <v>16</v>
      </c>
      <c r="AB168" s="41">
        <v>2018</v>
      </c>
      <c r="AC168" s="111"/>
      <c r="AD168" s="50"/>
    </row>
    <row r="169" spans="1:31" s="51" customFormat="1" ht="31.2" x14ac:dyDescent="0.3">
      <c r="A169" s="54" t="s">
        <v>18</v>
      </c>
      <c r="B169" s="54" t="s">
        <v>18</v>
      </c>
      <c r="C169" s="54" t="s">
        <v>25</v>
      </c>
      <c r="D169" s="54" t="s">
        <v>18</v>
      </c>
      <c r="E169" s="54" t="s">
        <v>21</v>
      </c>
      <c r="F169" s="54" t="s">
        <v>18</v>
      </c>
      <c r="G169" s="54" t="s">
        <v>22</v>
      </c>
      <c r="H169" s="54" t="s">
        <v>19</v>
      </c>
      <c r="I169" s="54" t="s">
        <v>24</v>
      </c>
      <c r="J169" s="54" t="s">
        <v>18</v>
      </c>
      <c r="K169" s="54" t="s">
        <v>18</v>
      </c>
      <c r="L169" s="54" t="s">
        <v>20</v>
      </c>
      <c r="M169" s="54" t="s">
        <v>43</v>
      </c>
      <c r="N169" s="54" t="s">
        <v>43</v>
      </c>
      <c r="O169" s="54" t="s">
        <v>43</v>
      </c>
      <c r="P169" s="54" t="s">
        <v>43</v>
      </c>
      <c r="Q169" s="54" t="s">
        <v>43</v>
      </c>
      <c r="R169" s="141" t="s">
        <v>266</v>
      </c>
      <c r="S169" s="55" t="s">
        <v>0</v>
      </c>
      <c r="T169" s="1">
        <f>480-430+100+55-48</f>
        <v>157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59">
        <f t="shared" si="71"/>
        <v>157</v>
      </c>
      <c r="AB169" s="58">
        <v>2018</v>
      </c>
      <c r="AC169" s="33"/>
      <c r="AD169" s="113"/>
      <c r="AE169" s="113"/>
    </row>
    <row r="170" spans="1:31" s="51" customFormat="1" ht="62.4" x14ac:dyDescent="0.3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283</v>
      </c>
      <c r="S170" s="52" t="s">
        <v>38</v>
      </c>
      <c r="T170" s="44">
        <v>4</v>
      </c>
      <c r="U170" s="44">
        <v>0</v>
      </c>
      <c r="V170" s="44">
        <v>0</v>
      </c>
      <c r="W170" s="44">
        <v>0</v>
      </c>
      <c r="X170" s="44">
        <v>0</v>
      </c>
      <c r="Y170" s="44">
        <v>0</v>
      </c>
      <c r="Z170" s="44">
        <v>0</v>
      </c>
      <c r="AA170" s="49">
        <f t="shared" si="71"/>
        <v>4</v>
      </c>
      <c r="AB170" s="41">
        <v>2018</v>
      </c>
      <c r="AC170" s="111"/>
      <c r="AD170" s="50"/>
    </row>
    <row r="171" spans="1:31" s="51" customFormat="1" ht="46.8" x14ac:dyDescent="0.3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141" t="s">
        <v>135</v>
      </c>
      <c r="S171" s="55" t="s">
        <v>41</v>
      </c>
      <c r="T171" s="56">
        <v>0</v>
      </c>
      <c r="U171" s="56">
        <v>0</v>
      </c>
      <c r="V171" s="56">
        <v>0</v>
      </c>
      <c r="W171" s="56">
        <v>1</v>
      </c>
      <c r="X171" s="56">
        <v>1</v>
      </c>
      <c r="Y171" s="56">
        <v>1</v>
      </c>
      <c r="Z171" s="56">
        <v>1</v>
      </c>
      <c r="AA171" s="57">
        <v>1</v>
      </c>
      <c r="AB171" s="58">
        <v>2024</v>
      </c>
      <c r="AC171" s="111"/>
      <c r="AD171" s="50"/>
    </row>
    <row r="172" spans="1:31" ht="29.4" customHeight="1" x14ac:dyDescent="0.3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77</v>
      </c>
      <c r="S172" s="41" t="s">
        <v>38</v>
      </c>
      <c r="T172" s="2">
        <v>0</v>
      </c>
      <c r="U172" s="2">
        <v>0</v>
      </c>
      <c r="V172" s="2">
        <v>0</v>
      </c>
      <c r="W172" s="2">
        <v>2</v>
      </c>
      <c r="X172" s="2">
        <v>2</v>
      </c>
      <c r="Y172" s="2">
        <v>2</v>
      </c>
      <c r="Z172" s="2">
        <v>2</v>
      </c>
      <c r="AA172" s="49">
        <f>SUM(T172:Z172)</f>
        <v>8</v>
      </c>
      <c r="AB172" s="41">
        <v>2024</v>
      </c>
      <c r="AD172" s="104"/>
      <c r="AE172" s="104"/>
    </row>
    <row r="173" spans="1:31" ht="31.8" customHeight="1" x14ac:dyDescent="0.3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141" t="s">
        <v>136</v>
      </c>
      <c r="S173" s="55" t="s">
        <v>41</v>
      </c>
      <c r="T173" s="56">
        <v>0</v>
      </c>
      <c r="U173" s="56">
        <v>0</v>
      </c>
      <c r="V173" s="56">
        <v>0</v>
      </c>
      <c r="W173" s="56">
        <v>1</v>
      </c>
      <c r="X173" s="56">
        <v>1</v>
      </c>
      <c r="Y173" s="56">
        <v>1</v>
      </c>
      <c r="Z173" s="56">
        <v>1</v>
      </c>
      <c r="AA173" s="57">
        <v>1</v>
      </c>
      <c r="AB173" s="58">
        <v>2024</v>
      </c>
      <c r="AD173" s="104"/>
      <c r="AE173" s="104"/>
    </row>
    <row r="174" spans="1:31" s="76" customFormat="1" ht="46.8" x14ac:dyDescent="0.3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40" t="s">
        <v>137</v>
      </c>
      <c r="S174" s="62" t="s">
        <v>38</v>
      </c>
      <c r="T174" s="2">
        <v>0</v>
      </c>
      <c r="U174" s="2">
        <v>0</v>
      </c>
      <c r="V174" s="2">
        <v>0</v>
      </c>
      <c r="W174" s="2">
        <v>2</v>
      </c>
      <c r="X174" s="2">
        <v>30</v>
      </c>
      <c r="Y174" s="2">
        <v>30</v>
      </c>
      <c r="Z174" s="2">
        <v>30</v>
      </c>
      <c r="AA174" s="45">
        <f>SUM(T174:Z174)</f>
        <v>92</v>
      </c>
      <c r="AB174" s="41">
        <v>2024</v>
      </c>
      <c r="AC174" s="103"/>
    </row>
    <row r="175" spans="1:31" s="76" customFormat="1" ht="63" customHeight="1" x14ac:dyDescent="0.3">
      <c r="A175" s="54"/>
      <c r="B175" s="54"/>
      <c r="C175" s="54"/>
      <c r="D175" s="54" t="s">
        <v>18</v>
      </c>
      <c r="E175" s="54" t="s">
        <v>24</v>
      </c>
      <c r="F175" s="54" t="s">
        <v>18</v>
      </c>
      <c r="G175" s="54" t="s">
        <v>43</v>
      </c>
      <c r="H175" s="54" t="s">
        <v>19</v>
      </c>
      <c r="I175" s="54" t="s">
        <v>24</v>
      </c>
      <c r="J175" s="54" t="s">
        <v>18</v>
      </c>
      <c r="K175" s="54" t="s">
        <v>18</v>
      </c>
      <c r="L175" s="54" t="s">
        <v>20</v>
      </c>
      <c r="M175" s="54" t="s">
        <v>18</v>
      </c>
      <c r="N175" s="54" t="s">
        <v>18</v>
      </c>
      <c r="O175" s="54" t="s">
        <v>18</v>
      </c>
      <c r="P175" s="54" t="s">
        <v>18</v>
      </c>
      <c r="Q175" s="54" t="s">
        <v>18</v>
      </c>
      <c r="R175" s="160" t="s">
        <v>138</v>
      </c>
      <c r="S175" s="58" t="s">
        <v>0</v>
      </c>
      <c r="T175" s="59">
        <f t="shared" ref="T175:Z175" si="72">T182+T189+T196+T203+T210</f>
        <v>123487.5</v>
      </c>
      <c r="U175" s="59">
        <f t="shared" si="72"/>
        <v>86341.199999999983</v>
      </c>
      <c r="V175" s="59">
        <f t="shared" si="72"/>
        <v>569.79999999999995</v>
      </c>
      <c r="W175" s="59">
        <f t="shared" si="72"/>
        <v>0</v>
      </c>
      <c r="X175" s="59">
        <f t="shared" si="72"/>
        <v>0</v>
      </c>
      <c r="Y175" s="59">
        <f t="shared" si="72"/>
        <v>0</v>
      </c>
      <c r="Z175" s="59">
        <f t="shared" si="72"/>
        <v>0</v>
      </c>
      <c r="AA175" s="59">
        <f>SUM(T175:Z175)</f>
        <v>210398.49999999997</v>
      </c>
      <c r="AB175" s="58">
        <v>2020</v>
      </c>
      <c r="AC175" s="108"/>
    </row>
    <row r="176" spans="1:31" s="76" customFormat="1" ht="19.95" hidden="1" customHeight="1" x14ac:dyDescent="0.3">
      <c r="A176" s="54"/>
      <c r="B176" s="54"/>
      <c r="C176" s="54"/>
      <c r="D176" s="54" t="s">
        <v>18</v>
      </c>
      <c r="E176" s="54" t="s">
        <v>24</v>
      </c>
      <c r="F176" s="54" t="s">
        <v>18</v>
      </c>
      <c r="G176" s="54" t="s">
        <v>43</v>
      </c>
      <c r="H176" s="54" t="s">
        <v>19</v>
      </c>
      <c r="I176" s="54" t="s">
        <v>24</v>
      </c>
      <c r="J176" s="54" t="s">
        <v>18</v>
      </c>
      <c r="K176" s="54" t="s">
        <v>18</v>
      </c>
      <c r="L176" s="54" t="s">
        <v>20</v>
      </c>
      <c r="M176" s="54" t="s">
        <v>37</v>
      </c>
      <c r="N176" s="54" t="s">
        <v>18</v>
      </c>
      <c r="O176" s="54" t="s">
        <v>20</v>
      </c>
      <c r="P176" s="54" t="s">
        <v>19</v>
      </c>
      <c r="Q176" s="54" t="s">
        <v>39</v>
      </c>
      <c r="R176" s="160"/>
      <c r="S176" s="55" t="s">
        <v>0</v>
      </c>
      <c r="T176" s="1">
        <f t="shared" ref="T176:Z177" si="73">T184+T191+T198+T205</f>
        <v>0</v>
      </c>
      <c r="U176" s="1">
        <f t="shared" si="73"/>
        <v>18179.999999999996</v>
      </c>
      <c r="V176" s="1">
        <f t="shared" si="73"/>
        <v>0</v>
      </c>
      <c r="W176" s="1">
        <f t="shared" si="73"/>
        <v>0</v>
      </c>
      <c r="X176" s="1">
        <f t="shared" si="73"/>
        <v>0</v>
      </c>
      <c r="Y176" s="1">
        <f t="shared" si="73"/>
        <v>0</v>
      </c>
      <c r="Z176" s="1">
        <f t="shared" si="73"/>
        <v>0</v>
      </c>
      <c r="AA176" s="59">
        <f>T176+U176+V176+W176+X176+Y176</f>
        <v>18179.999999999996</v>
      </c>
      <c r="AB176" s="58">
        <v>2023</v>
      </c>
      <c r="AC176" s="103"/>
    </row>
    <row r="177" spans="1:30" s="76" customFormat="1" ht="19.95" hidden="1" customHeight="1" x14ac:dyDescent="0.3">
      <c r="A177" s="54"/>
      <c r="B177" s="54"/>
      <c r="C177" s="54"/>
      <c r="D177" s="54" t="s">
        <v>18</v>
      </c>
      <c r="E177" s="54" t="s">
        <v>24</v>
      </c>
      <c r="F177" s="54" t="s">
        <v>18</v>
      </c>
      <c r="G177" s="54" t="s">
        <v>43</v>
      </c>
      <c r="H177" s="54" t="s">
        <v>19</v>
      </c>
      <c r="I177" s="54" t="s">
        <v>24</v>
      </c>
      <c r="J177" s="54" t="s">
        <v>18</v>
      </c>
      <c r="K177" s="54" t="s">
        <v>18</v>
      </c>
      <c r="L177" s="54" t="s">
        <v>20</v>
      </c>
      <c r="M177" s="54" t="s">
        <v>18</v>
      </c>
      <c r="N177" s="54" t="s">
        <v>18</v>
      </c>
      <c r="O177" s="54" t="s">
        <v>18</v>
      </c>
      <c r="P177" s="54" t="s">
        <v>18</v>
      </c>
      <c r="Q177" s="54" t="s">
        <v>18</v>
      </c>
      <c r="R177" s="160"/>
      <c r="S177" s="55" t="s">
        <v>0</v>
      </c>
      <c r="T177" s="1">
        <f t="shared" si="73"/>
        <v>0</v>
      </c>
      <c r="U177" s="1">
        <f t="shared" si="73"/>
        <v>896.59999999999991</v>
      </c>
      <c r="V177" s="1">
        <f t="shared" si="73"/>
        <v>569.79999999999995</v>
      </c>
      <c r="W177" s="1">
        <f t="shared" si="73"/>
        <v>0</v>
      </c>
      <c r="X177" s="1">
        <f t="shared" si="73"/>
        <v>0</v>
      </c>
      <c r="Y177" s="1">
        <f t="shared" si="73"/>
        <v>0</v>
      </c>
      <c r="Z177" s="1">
        <f t="shared" si="73"/>
        <v>0</v>
      </c>
      <c r="AA177" s="59">
        <f>T177+U177+V177+W177+X177+Y177</f>
        <v>1466.3999999999999</v>
      </c>
      <c r="AB177" s="58">
        <v>2023</v>
      </c>
      <c r="AC177" s="103"/>
    </row>
    <row r="178" spans="1:30" s="76" customFormat="1" ht="62.4" x14ac:dyDescent="0.3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78" t="s">
        <v>185</v>
      </c>
      <c r="S178" s="62" t="s">
        <v>52</v>
      </c>
      <c r="T178" s="3">
        <f>T214</f>
        <v>58.6</v>
      </c>
      <c r="U178" s="3">
        <f t="shared" ref="U178:Z178" si="74">U214+U207+U200+U193+U186</f>
        <v>38.200000000000003</v>
      </c>
      <c r="V178" s="3">
        <f t="shared" si="74"/>
        <v>0</v>
      </c>
      <c r="W178" s="3">
        <f t="shared" si="74"/>
        <v>0</v>
      </c>
      <c r="X178" s="3">
        <f t="shared" si="74"/>
        <v>0</v>
      </c>
      <c r="Y178" s="3">
        <f t="shared" si="74"/>
        <v>0</v>
      </c>
      <c r="Z178" s="3">
        <f t="shared" si="74"/>
        <v>0</v>
      </c>
      <c r="AA178" s="6">
        <f>SUM(T178:Z178)</f>
        <v>96.800000000000011</v>
      </c>
      <c r="AB178" s="41">
        <v>2020</v>
      </c>
      <c r="AC178" s="103"/>
    </row>
    <row r="179" spans="1:30" s="76" customFormat="1" ht="31.2" hidden="1" customHeight="1" x14ac:dyDescent="0.3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79" t="s">
        <v>51</v>
      </c>
      <c r="S179" s="62"/>
      <c r="T179" s="3">
        <f>T215</f>
        <v>28</v>
      </c>
      <c r="U179" s="3"/>
      <c r="V179" s="3"/>
      <c r="W179" s="3"/>
      <c r="X179" s="3"/>
      <c r="Y179" s="3"/>
      <c r="Z179" s="3"/>
      <c r="AA179" s="6"/>
      <c r="AB179" s="41">
        <v>2020</v>
      </c>
      <c r="AC179" s="103"/>
    </row>
    <row r="180" spans="1:30" s="76" customFormat="1" ht="31.2" x14ac:dyDescent="0.3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80" t="s">
        <v>186</v>
      </c>
      <c r="S180" s="62" t="s">
        <v>38</v>
      </c>
      <c r="T180" s="44">
        <f>T215</f>
        <v>28</v>
      </c>
      <c r="U180" s="44">
        <f>U187+U194+U201+U208+U215</f>
        <v>20</v>
      </c>
      <c r="V180" s="44">
        <f>V187+V194+V201+V208</f>
        <v>0</v>
      </c>
      <c r="W180" s="44">
        <f>W187+W194+W201+W208</f>
        <v>0</v>
      </c>
      <c r="X180" s="44">
        <f>X187+X194+X201+X208</f>
        <v>0</v>
      </c>
      <c r="Y180" s="44">
        <f>Y187+Y194+Y201+Y208</f>
        <v>0</v>
      </c>
      <c r="Z180" s="44">
        <f>Z187+Z194+Z201+Z208</f>
        <v>0</v>
      </c>
      <c r="AA180" s="49">
        <f>SUM(T180:Z180)</f>
        <v>48</v>
      </c>
      <c r="AB180" s="41">
        <v>2020</v>
      </c>
      <c r="AC180" s="103"/>
      <c r="AD180" s="81"/>
    </row>
    <row r="181" spans="1:30" s="133" customFormat="1" ht="45.6" customHeight="1" x14ac:dyDescent="0.3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78" t="s">
        <v>351</v>
      </c>
      <c r="S181" s="52" t="s">
        <v>38</v>
      </c>
      <c r="T181" s="44">
        <v>0</v>
      </c>
      <c r="U181" s="44">
        <f>U188+U195+U202+U209</f>
        <v>20</v>
      </c>
      <c r="V181" s="44">
        <f>V188+V195+V202+V209</f>
        <v>14</v>
      </c>
      <c r="W181" s="44">
        <v>0</v>
      </c>
      <c r="X181" s="44">
        <v>0</v>
      </c>
      <c r="Y181" s="44">
        <v>0</v>
      </c>
      <c r="Z181" s="44">
        <v>0</v>
      </c>
      <c r="AA181" s="49">
        <f>SUM(T181:Z181)</f>
        <v>34</v>
      </c>
      <c r="AB181" s="41">
        <v>2020</v>
      </c>
      <c r="AC181" s="111"/>
      <c r="AD181" s="132"/>
    </row>
    <row r="182" spans="1:30" s="76" customFormat="1" x14ac:dyDescent="0.3">
      <c r="A182" s="54" t="s">
        <v>18</v>
      </c>
      <c r="B182" s="54" t="s">
        <v>18</v>
      </c>
      <c r="C182" s="54" t="s">
        <v>22</v>
      </c>
      <c r="D182" s="54" t="s">
        <v>18</v>
      </c>
      <c r="E182" s="54" t="s">
        <v>24</v>
      </c>
      <c r="F182" s="54" t="s">
        <v>18</v>
      </c>
      <c r="G182" s="54" t="s">
        <v>43</v>
      </c>
      <c r="H182" s="54" t="s">
        <v>19</v>
      </c>
      <c r="I182" s="54" t="s">
        <v>24</v>
      </c>
      <c r="J182" s="54" t="s">
        <v>18</v>
      </c>
      <c r="K182" s="54" t="s">
        <v>18</v>
      </c>
      <c r="L182" s="54" t="s">
        <v>20</v>
      </c>
      <c r="M182" s="54" t="s">
        <v>18</v>
      </c>
      <c r="N182" s="54" t="s">
        <v>18</v>
      </c>
      <c r="O182" s="54" t="s">
        <v>18</v>
      </c>
      <c r="P182" s="54" t="s">
        <v>18</v>
      </c>
      <c r="Q182" s="54" t="s">
        <v>18</v>
      </c>
      <c r="R182" s="160" t="s">
        <v>138</v>
      </c>
      <c r="S182" s="55" t="s">
        <v>0</v>
      </c>
      <c r="T182" s="59">
        <f>SUM(T184:T185)</f>
        <v>0</v>
      </c>
      <c r="U182" s="59">
        <f>SUM(U183:U185)</f>
        <v>26850.299999999996</v>
      </c>
      <c r="V182" s="59">
        <f t="shared" ref="V182:Z182" si="75">SUM(V183:V185)</f>
        <v>48.800000000000011</v>
      </c>
      <c r="W182" s="59">
        <f t="shared" si="75"/>
        <v>0</v>
      </c>
      <c r="X182" s="59">
        <f t="shared" si="75"/>
        <v>0</v>
      </c>
      <c r="Y182" s="59">
        <f t="shared" si="75"/>
        <v>0</v>
      </c>
      <c r="Z182" s="59">
        <f t="shared" si="75"/>
        <v>0</v>
      </c>
      <c r="AA182" s="59">
        <f>SUM(T182:Z182)</f>
        <v>26899.099999999995</v>
      </c>
      <c r="AB182" s="58">
        <v>2020</v>
      </c>
      <c r="AC182" s="103"/>
      <c r="AD182" s="81"/>
    </row>
    <row r="183" spans="1:30" s="76" customFormat="1" x14ac:dyDescent="0.3">
      <c r="A183" s="54" t="s">
        <v>18</v>
      </c>
      <c r="B183" s="54" t="s">
        <v>18</v>
      </c>
      <c r="C183" s="54" t="s">
        <v>22</v>
      </c>
      <c r="D183" s="54" t="s">
        <v>18</v>
      </c>
      <c r="E183" s="54" t="s">
        <v>24</v>
      </c>
      <c r="F183" s="54" t="s">
        <v>18</v>
      </c>
      <c r="G183" s="54" t="s">
        <v>43</v>
      </c>
      <c r="H183" s="54" t="s">
        <v>19</v>
      </c>
      <c r="I183" s="54" t="s">
        <v>24</v>
      </c>
      <c r="J183" s="54" t="s">
        <v>18</v>
      </c>
      <c r="K183" s="54" t="s">
        <v>18</v>
      </c>
      <c r="L183" s="54" t="s">
        <v>20</v>
      </c>
      <c r="M183" s="54" t="s">
        <v>19</v>
      </c>
      <c r="N183" s="54" t="s">
        <v>18</v>
      </c>
      <c r="O183" s="54" t="s">
        <v>177</v>
      </c>
      <c r="P183" s="54" t="s">
        <v>21</v>
      </c>
      <c r="Q183" s="54" t="s">
        <v>25</v>
      </c>
      <c r="R183" s="160"/>
      <c r="S183" s="55" t="s">
        <v>0</v>
      </c>
      <c r="T183" s="1">
        <v>0</v>
      </c>
      <c r="U183" s="1">
        <f>16800.1+4329.1</f>
        <v>21129.199999999997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59">
        <f t="shared" ref="AA183" si="76">SUM(T183:Z183)</f>
        <v>21129.199999999997</v>
      </c>
      <c r="AB183" s="58">
        <v>2020</v>
      </c>
      <c r="AC183" s="103"/>
      <c r="AD183" s="81"/>
    </row>
    <row r="184" spans="1:30" s="76" customFormat="1" x14ac:dyDescent="0.3">
      <c r="A184" s="54" t="s">
        <v>18</v>
      </c>
      <c r="B184" s="54" t="s">
        <v>18</v>
      </c>
      <c r="C184" s="54" t="s">
        <v>22</v>
      </c>
      <c r="D184" s="54" t="s">
        <v>18</v>
      </c>
      <c r="E184" s="54" t="s">
        <v>24</v>
      </c>
      <c r="F184" s="54" t="s">
        <v>18</v>
      </c>
      <c r="G184" s="54" t="s">
        <v>43</v>
      </c>
      <c r="H184" s="54" t="s">
        <v>19</v>
      </c>
      <c r="I184" s="54" t="s">
        <v>24</v>
      </c>
      <c r="J184" s="54" t="s">
        <v>18</v>
      </c>
      <c r="K184" s="54" t="s">
        <v>18</v>
      </c>
      <c r="L184" s="54" t="s">
        <v>20</v>
      </c>
      <c r="M184" s="54" t="s">
        <v>37</v>
      </c>
      <c r="N184" s="54" t="s">
        <v>18</v>
      </c>
      <c r="O184" s="54" t="s">
        <v>177</v>
      </c>
      <c r="P184" s="54" t="s">
        <v>21</v>
      </c>
      <c r="Q184" s="54" t="s">
        <v>25</v>
      </c>
      <c r="R184" s="160"/>
      <c r="S184" s="55" t="s">
        <v>0</v>
      </c>
      <c r="T184" s="1">
        <v>0</v>
      </c>
      <c r="U184" s="1">
        <f>4199.9+2224.5-291-681.9</f>
        <v>5451.5</v>
      </c>
      <c r="V184" s="1">
        <f>2529.4-2529.4</f>
        <v>0</v>
      </c>
      <c r="W184" s="1">
        <f>2800-2800</f>
        <v>0</v>
      </c>
      <c r="X184" s="1">
        <f>2800-2800</f>
        <v>0</v>
      </c>
      <c r="Y184" s="1">
        <f t="shared" ref="Y184:Z184" si="77">2800-2800</f>
        <v>0</v>
      </c>
      <c r="Z184" s="1">
        <f t="shared" si="77"/>
        <v>0</v>
      </c>
      <c r="AA184" s="59">
        <f t="shared" ref="AA184:AA185" si="78">SUM(T184:Z184)</f>
        <v>5451.5</v>
      </c>
      <c r="AB184" s="58">
        <v>2020</v>
      </c>
      <c r="AC184" s="103"/>
      <c r="AD184" s="81"/>
    </row>
    <row r="185" spans="1:30" s="76" customFormat="1" ht="15" customHeight="1" x14ac:dyDescent="0.3">
      <c r="A185" s="54" t="s">
        <v>18</v>
      </c>
      <c r="B185" s="54" t="s">
        <v>18</v>
      </c>
      <c r="C185" s="54" t="s">
        <v>22</v>
      </c>
      <c r="D185" s="54" t="s">
        <v>18</v>
      </c>
      <c r="E185" s="54" t="s">
        <v>24</v>
      </c>
      <c r="F185" s="54" t="s">
        <v>18</v>
      </c>
      <c r="G185" s="54" t="s">
        <v>43</v>
      </c>
      <c r="H185" s="54" t="s">
        <v>19</v>
      </c>
      <c r="I185" s="54" t="s">
        <v>24</v>
      </c>
      <c r="J185" s="54" t="s">
        <v>18</v>
      </c>
      <c r="K185" s="54" t="s">
        <v>18</v>
      </c>
      <c r="L185" s="54" t="s">
        <v>20</v>
      </c>
      <c r="M185" s="54" t="s">
        <v>43</v>
      </c>
      <c r="N185" s="54" t="s">
        <v>43</v>
      </c>
      <c r="O185" s="54" t="s">
        <v>43</v>
      </c>
      <c r="P185" s="54" t="s">
        <v>43</v>
      </c>
      <c r="Q185" s="54" t="s">
        <v>43</v>
      </c>
      <c r="R185" s="160"/>
      <c r="S185" s="55" t="s">
        <v>0</v>
      </c>
      <c r="T185" s="1">
        <v>0</v>
      </c>
      <c r="U185" s="1">
        <f>164.3-164.3+200+449.4+50.8-371.3-59.3</f>
        <v>269.59999999999991</v>
      </c>
      <c r="V185" s="1">
        <f>270.6-221.8</f>
        <v>48.800000000000011</v>
      </c>
      <c r="W185" s="1">
        <v>0</v>
      </c>
      <c r="X185" s="1">
        <v>0</v>
      </c>
      <c r="Y185" s="1">
        <v>0</v>
      </c>
      <c r="Z185" s="1">
        <v>0</v>
      </c>
      <c r="AA185" s="59">
        <f t="shared" si="78"/>
        <v>318.39999999999992</v>
      </c>
      <c r="AB185" s="58">
        <v>2020</v>
      </c>
      <c r="AC185" s="103"/>
      <c r="AD185" s="81"/>
    </row>
    <row r="186" spans="1:30" s="76" customFormat="1" ht="62.4" x14ac:dyDescent="0.3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78" t="s">
        <v>290</v>
      </c>
      <c r="S186" s="62" t="s">
        <v>42</v>
      </c>
      <c r="T186" s="3">
        <v>0</v>
      </c>
      <c r="U186" s="3">
        <v>11.6</v>
      </c>
      <c r="V186" s="3">
        <f>6.8-6.8</f>
        <v>0</v>
      </c>
      <c r="W186" s="3">
        <v>0</v>
      </c>
      <c r="X186" s="3">
        <v>0</v>
      </c>
      <c r="Y186" s="3">
        <v>0</v>
      </c>
      <c r="Z186" s="3">
        <v>0</v>
      </c>
      <c r="AA186" s="6">
        <f>SUM(T186:Z186)</f>
        <v>11.6</v>
      </c>
      <c r="AB186" s="41">
        <v>2020</v>
      </c>
      <c r="AC186" s="103"/>
    </row>
    <row r="187" spans="1:30" s="76" customFormat="1" ht="46.8" x14ac:dyDescent="0.3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80" t="s">
        <v>291</v>
      </c>
      <c r="S187" s="62" t="s">
        <v>38</v>
      </c>
      <c r="T187" s="44">
        <v>0</v>
      </c>
      <c r="U187" s="44">
        <v>8</v>
      </c>
      <c r="V187" s="44">
        <f>3-3</f>
        <v>0</v>
      </c>
      <c r="W187" s="44">
        <v>0</v>
      </c>
      <c r="X187" s="44">
        <v>0</v>
      </c>
      <c r="Y187" s="44">
        <v>0</v>
      </c>
      <c r="Z187" s="44">
        <v>0</v>
      </c>
      <c r="AA187" s="49">
        <f>SUM(T187:Z187)</f>
        <v>8</v>
      </c>
      <c r="AB187" s="41">
        <v>2020</v>
      </c>
      <c r="AC187" s="103"/>
      <c r="AD187" s="81"/>
    </row>
    <row r="188" spans="1:30" s="133" customFormat="1" ht="62.4" x14ac:dyDescent="0.3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78" t="s">
        <v>300</v>
      </c>
      <c r="S188" s="52" t="s">
        <v>38</v>
      </c>
      <c r="T188" s="44">
        <v>0</v>
      </c>
      <c r="U188" s="44">
        <v>8</v>
      </c>
      <c r="V188" s="44">
        <v>5</v>
      </c>
      <c r="W188" s="44">
        <v>0</v>
      </c>
      <c r="X188" s="44">
        <v>0</v>
      </c>
      <c r="Y188" s="44">
        <v>0</v>
      </c>
      <c r="Z188" s="44">
        <v>0</v>
      </c>
      <c r="AA188" s="49">
        <f>SUM(T188:Z188)</f>
        <v>13</v>
      </c>
      <c r="AB188" s="41">
        <v>2020</v>
      </c>
      <c r="AC188" s="111"/>
      <c r="AD188" s="132"/>
    </row>
    <row r="189" spans="1:30" s="76" customFormat="1" ht="24" customHeight="1" x14ac:dyDescent="0.3">
      <c r="A189" s="54" t="s">
        <v>18</v>
      </c>
      <c r="B189" s="54" t="s">
        <v>18</v>
      </c>
      <c r="C189" s="54" t="s">
        <v>24</v>
      </c>
      <c r="D189" s="54" t="s">
        <v>18</v>
      </c>
      <c r="E189" s="54" t="s">
        <v>24</v>
      </c>
      <c r="F189" s="54" t="s">
        <v>18</v>
      </c>
      <c r="G189" s="54" t="s">
        <v>43</v>
      </c>
      <c r="H189" s="54" t="s">
        <v>19</v>
      </c>
      <c r="I189" s="54" t="s">
        <v>24</v>
      </c>
      <c r="J189" s="54" t="s">
        <v>18</v>
      </c>
      <c r="K189" s="54" t="s">
        <v>18</v>
      </c>
      <c r="L189" s="54" t="s">
        <v>20</v>
      </c>
      <c r="M189" s="54" t="s">
        <v>18</v>
      </c>
      <c r="N189" s="54" t="s">
        <v>18</v>
      </c>
      <c r="O189" s="54" t="s">
        <v>18</v>
      </c>
      <c r="P189" s="54" t="s">
        <v>18</v>
      </c>
      <c r="Q189" s="54" t="s">
        <v>18</v>
      </c>
      <c r="R189" s="160" t="s">
        <v>138</v>
      </c>
      <c r="S189" s="55" t="s">
        <v>0</v>
      </c>
      <c r="T189" s="59">
        <f>T191+T192</f>
        <v>0</v>
      </c>
      <c r="U189" s="59">
        <f>SUM(U190:U192)</f>
        <v>22882.399999999998</v>
      </c>
      <c r="V189" s="59">
        <f t="shared" ref="V189:X189" si="79">SUM(V190:V192)</f>
        <v>0</v>
      </c>
      <c r="W189" s="59">
        <f t="shared" si="79"/>
        <v>0</v>
      </c>
      <c r="X189" s="59">
        <f t="shared" si="79"/>
        <v>0</v>
      </c>
      <c r="Y189" s="59">
        <f t="shared" ref="Y189:Z189" si="80">SUM(Y190:Y192)</f>
        <v>0</v>
      </c>
      <c r="Z189" s="59">
        <f t="shared" si="80"/>
        <v>0</v>
      </c>
      <c r="AA189" s="59">
        <f>SUM(T189:Z189)</f>
        <v>22882.399999999998</v>
      </c>
      <c r="AB189" s="58">
        <v>2020</v>
      </c>
      <c r="AC189" s="103"/>
    </row>
    <row r="190" spans="1:30" s="76" customFormat="1" x14ac:dyDescent="0.3">
      <c r="A190" s="54" t="s">
        <v>18</v>
      </c>
      <c r="B190" s="54" t="s">
        <v>18</v>
      </c>
      <c r="C190" s="54" t="s">
        <v>24</v>
      </c>
      <c r="D190" s="54" t="s">
        <v>18</v>
      </c>
      <c r="E190" s="54" t="s">
        <v>24</v>
      </c>
      <c r="F190" s="54" t="s">
        <v>18</v>
      </c>
      <c r="G190" s="54" t="s">
        <v>43</v>
      </c>
      <c r="H190" s="54" t="s">
        <v>19</v>
      </c>
      <c r="I190" s="54" t="s">
        <v>24</v>
      </c>
      <c r="J190" s="54" t="s">
        <v>18</v>
      </c>
      <c r="K190" s="54" t="s">
        <v>18</v>
      </c>
      <c r="L190" s="54" t="s">
        <v>20</v>
      </c>
      <c r="M190" s="54" t="s">
        <v>19</v>
      </c>
      <c r="N190" s="54" t="s">
        <v>18</v>
      </c>
      <c r="O190" s="54" t="s">
        <v>177</v>
      </c>
      <c r="P190" s="54" t="s">
        <v>21</v>
      </c>
      <c r="Q190" s="54" t="s">
        <v>25</v>
      </c>
      <c r="R190" s="160"/>
      <c r="S190" s="55" t="s">
        <v>0</v>
      </c>
      <c r="T190" s="1">
        <f>T192+T193</f>
        <v>0</v>
      </c>
      <c r="U190" s="1">
        <f>14400.1+2862.7</f>
        <v>17262.8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59">
        <f t="shared" ref="AA190:AA192" si="81">SUM(T190:Z190)</f>
        <v>17262.8</v>
      </c>
      <c r="AB190" s="58">
        <v>2020</v>
      </c>
      <c r="AC190" s="103"/>
    </row>
    <row r="191" spans="1:30" s="76" customFormat="1" x14ac:dyDescent="0.3">
      <c r="A191" s="54" t="s">
        <v>18</v>
      </c>
      <c r="B191" s="54" t="s">
        <v>18</v>
      </c>
      <c r="C191" s="54" t="s">
        <v>24</v>
      </c>
      <c r="D191" s="54" t="s">
        <v>18</v>
      </c>
      <c r="E191" s="54" t="s">
        <v>24</v>
      </c>
      <c r="F191" s="54" t="s">
        <v>18</v>
      </c>
      <c r="G191" s="54" t="s">
        <v>43</v>
      </c>
      <c r="H191" s="54" t="s">
        <v>19</v>
      </c>
      <c r="I191" s="54" t="s">
        <v>24</v>
      </c>
      <c r="J191" s="54" t="s">
        <v>18</v>
      </c>
      <c r="K191" s="54" t="s">
        <v>18</v>
      </c>
      <c r="L191" s="54" t="s">
        <v>20</v>
      </c>
      <c r="M191" s="54" t="s">
        <v>37</v>
      </c>
      <c r="N191" s="54" t="s">
        <v>18</v>
      </c>
      <c r="O191" s="54" t="s">
        <v>177</v>
      </c>
      <c r="P191" s="54" t="s">
        <v>21</v>
      </c>
      <c r="Q191" s="54" t="s">
        <v>25</v>
      </c>
      <c r="R191" s="160"/>
      <c r="S191" s="55" t="s">
        <v>0</v>
      </c>
      <c r="T191" s="1">
        <v>0</v>
      </c>
      <c r="U191" s="1">
        <f>3599.9+2545.7-290-443.1</f>
        <v>5412.5</v>
      </c>
      <c r="V191" s="1">
        <f>1096.5-1096.5</f>
        <v>0</v>
      </c>
      <c r="W191" s="1">
        <f>1500-1500</f>
        <v>0</v>
      </c>
      <c r="X191" s="1">
        <f>1500-1500</f>
        <v>0</v>
      </c>
      <c r="Y191" s="1">
        <f>1500-1500</f>
        <v>0</v>
      </c>
      <c r="Z191" s="1">
        <f>1500-1500</f>
        <v>0</v>
      </c>
      <c r="AA191" s="59">
        <f t="shared" si="81"/>
        <v>5412.5</v>
      </c>
      <c r="AB191" s="58">
        <v>2020</v>
      </c>
      <c r="AC191" s="103"/>
    </row>
    <row r="192" spans="1:30" s="76" customFormat="1" x14ac:dyDescent="0.3">
      <c r="A192" s="54" t="s">
        <v>18</v>
      </c>
      <c r="B192" s="54" t="s">
        <v>18</v>
      </c>
      <c r="C192" s="54" t="s">
        <v>24</v>
      </c>
      <c r="D192" s="54" t="s">
        <v>18</v>
      </c>
      <c r="E192" s="54" t="s">
        <v>24</v>
      </c>
      <c r="F192" s="54" t="s">
        <v>18</v>
      </c>
      <c r="G192" s="54" t="s">
        <v>43</v>
      </c>
      <c r="H192" s="54" t="s">
        <v>19</v>
      </c>
      <c r="I192" s="54" t="s">
        <v>24</v>
      </c>
      <c r="J192" s="54" t="s">
        <v>18</v>
      </c>
      <c r="K192" s="54" t="s">
        <v>18</v>
      </c>
      <c r="L192" s="54" t="s">
        <v>20</v>
      </c>
      <c r="M192" s="54" t="s">
        <v>43</v>
      </c>
      <c r="N192" s="54" t="s">
        <v>43</v>
      </c>
      <c r="O192" s="54" t="s">
        <v>43</v>
      </c>
      <c r="P192" s="54" t="s">
        <v>43</v>
      </c>
      <c r="Q192" s="54" t="s">
        <v>43</v>
      </c>
      <c r="R192" s="160"/>
      <c r="S192" s="55" t="s">
        <v>0</v>
      </c>
      <c r="T192" s="1">
        <v>0</v>
      </c>
      <c r="U192" s="1">
        <f>145-145+100+385.2+30.4-308.5</f>
        <v>207.10000000000002</v>
      </c>
      <c r="V192" s="1">
        <f>403.5-403.5</f>
        <v>0</v>
      </c>
      <c r="W192" s="1">
        <v>0</v>
      </c>
      <c r="X192" s="1">
        <v>0</v>
      </c>
      <c r="Y192" s="1">
        <v>0</v>
      </c>
      <c r="Z192" s="1">
        <v>0</v>
      </c>
      <c r="AA192" s="59">
        <f t="shared" si="81"/>
        <v>207.10000000000002</v>
      </c>
      <c r="AB192" s="58">
        <v>2020</v>
      </c>
      <c r="AC192" s="103"/>
    </row>
    <row r="193" spans="1:30" s="76" customFormat="1" ht="62.4" x14ac:dyDescent="0.3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78" t="s">
        <v>292</v>
      </c>
      <c r="S193" s="62" t="s">
        <v>52</v>
      </c>
      <c r="T193" s="3">
        <v>0</v>
      </c>
      <c r="U193" s="3">
        <v>10.6</v>
      </c>
      <c r="V193" s="3">
        <f>3-3</f>
        <v>0</v>
      </c>
      <c r="W193" s="3">
        <v>0</v>
      </c>
      <c r="X193" s="3">
        <v>0</v>
      </c>
      <c r="Y193" s="3">
        <v>0</v>
      </c>
      <c r="Z193" s="3">
        <v>0</v>
      </c>
      <c r="AA193" s="6">
        <f>SUM(T193:Z193)</f>
        <v>10.6</v>
      </c>
      <c r="AB193" s="41">
        <v>2020</v>
      </c>
      <c r="AC193" s="103"/>
    </row>
    <row r="194" spans="1:30" s="76" customFormat="1" ht="46.8" x14ac:dyDescent="0.3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80" t="s">
        <v>293</v>
      </c>
      <c r="S194" s="62" t="s">
        <v>38</v>
      </c>
      <c r="T194" s="44">
        <v>0</v>
      </c>
      <c r="U194" s="44">
        <v>4</v>
      </c>
      <c r="V194" s="44">
        <f>2-2</f>
        <v>0</v>
      </c>
      <c r="W194" s="44">
        <v>0</v>
      </c>
      <c r="X194" s="44">
        <v>0</v>
      </c>
      <c r="Y194" s="44">
        <v>0</v>
      </c>
      <c r="Z194" s="44">
        <v>0</v>
      </c>
      <c r="AA194" s="49">
        <f>SUM(T194:Z194)</f>
        <v>4</v>
      </c>
      <c r="AB194" s="41">
        <v>2020</v>
      </c>
      <c r="AC194" s="103"/>
      <c r="AD194" s="81"/>
    </row>
    <row r="195" spans="1:30" s="133" customFormat="1" ht="62.4" x14ac:dyDescent="0.3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78" t="s">
        <v>301</v>
      </c>
      <c r="S195" s="52" t="s">
        <v>38</v>
      </c>
      <c r="T195" s="44">
        <v>0</v>
      </c>
      <c r="U195" s="44">
        <v>4</v>
      </c>
      <c r="V195" s="44">
        <v>0</v>
      </c>
      <c r="W195" s="44">
        <v>0</v>
      </c>
      <c r="X195" s="44">
        <v>0</v>
      </c>
      <c r="Y195" s="44">
        <v>0</v>
      </c>
      <c r="Z195" s="44">
        <v>0</v>
      </c>
      <c r="AA195" s="49">
        <f>SUM(T195:Z195)</f>
        <v>4</v>
      </c>
      <c r="AB195" s="41">
        <v>2020</v>
      </c>
      <c r="AC195" s="111"/>
      <c r="AD195" s="132"/>
    </row>
    <row r="196" spans="1:30" s="76" customFormat="1" ht="21.6" customHeight="1" x14ac:dyDescent="0.3">
      <c r="A196" s="54" t="s">
        <v>18</v>
      </c>
      <c r="B196" s="54" t="s">
        <v>18</v>
      </c>
      <c r="C196" s="54" t="s">
        <v>21</v>
      </c>
      <c r="D196" s="54" t="s">
        <v>18</v>
      </c>
      <c r="E196" s="54" t="s">
        <v>24</v>
      </c>
      <c r="F196" s="54" t="s">
        <v>18</v>
      </c>
      <c r="G196" s="54" t="s">
        <v>43</v>
      </c>
      <c r="H196" s="54" t="s">
        <v>19</v>
      </c>
      <c r="I196" s="54" t="s">
        <v>24</v>
      </c>
      <c r="J196" s="54" t="s">
        <v>18</v>
      </c>
      <c r="K196" s="54" t="s">
        <v>18</v>
      </c>
      <c r="L196" s="54" t="s">
        <v>20</v>
      </c>
      <c r="M196" s="54" t="s">
        <v>18</v>
      </c>
      <c r="N196" s="54" t="s">
        <v>18</v>
      </c>
      <c r="O196" s="54" t="s">
        <v>18</v>
      </c>
      <c r="P196" s="54" t="s">
        <v>18</v>
      </c>
      <c r="Q196" s="54" t="s">
        <v>18</v>
      </c>
      <c r="R196" s="160" t="s">
        <v>138</v>
      </c>
      <c r="S196" s="55" t="s">
        <v>0</v>
      </c>
      <c r="T196" s="59">
        <f>T198+T199</f>
        <v>0</v>
      </c>
      <c r="U196" s="59">
        <f>SUM(U197:U199)</f>
        <v>25870.1</v>
      </c>
      <c r="V196" s="59">
        <f t="shared" ref="V196:X196" si="82">SUM(V197:V199)</f>
        <v>30</v>
      </c>
      <c r="W196" s="59">
        <f t="shared" si="82"/>
        <v>0</v>
      </c>
      <c r="X196" s="59">
        <f t="shared" si="82"/>
        <v>0</v>
      </c>
      <c r="Y196" s="59">
        <f t="shared" ref="Y196:Z196" si="83">SUM(Y197:Y199)</f>
        <v>0</v>
      </c>
      <c r="Z196" s="59">
        <f t="shared" si="83"/>
        <v>0</v>
      </c>
      <c r="AA196" s="59">
        <f>SUM(T196:Z196)</f>
        <v>25900.1</v>
      </c>
      <c r="AB196" s="58">
        <v>2020</v>
      </c>
      <c r="AC196" s="103"/>
    </row>
    <row r="197" spans="1:30" s="76" customFormat="1" x14ac:dyDescent="0.3">
      <c r="A197" s="54" t="s">
        <v>18</v>
      </c>
      <c r="B197" s="54" t="s">
        <v>18</v>
      </c>
      <c r="C197" s="54" t="s">
        <v>21</v>
      </c>
      <c r="D197" s="54" t="s">
        <v>18</v>
      </c>
      <c r="E197" s="54" t="s">
        <v>24</v>
      </c>
      <c r="F197" s="54" t="s">
        <v>18</v>
      </c>
      <c r="G197" s="54" t="s">
        <v>43</v>
      </c>
      <c r="H197" s="54" t="s">
        <v>19</v>
      </c>
      <c r="I197" s="54" t="s">
        <v>24</v>
      </c>
      <c r="J197" s="54" t="s">
        <v>18</v>
      </c>
      <c r="K197" s="54" t="s">
        <v>18</v>
      </c>
      <c r="L197" s="54" t="s">
        <v>20</v>
      </c>
      <c r="M197" s="54" t="s">
        <v>19</v>
      </c>
      <c r="N197" s="54" t="s">
        <v>18</v>
      </c>
      <c r="O197" s="54" t="s">
        <v>177</v>
      </c>
      <c r="P197" s="54" t="s">
        <v>21</v>
      </c>
      <c r="Q197" s="54" t="s">
        <v>25</v>
      </c>
      <c r="R197" s="160"/>
      <c r="S197" s="55" t="s">
        <v>0</v>
      </c>
      <c r="T197" s="1">
        <v>0</v>
      </c>
      <c r="U197" s="1">
        <f>16800.1+3497.2</f>
        <v>20297.3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59">
        <f t="shared" ref="AA197:AA198" si="84">SUM(T197:Z197)</f>
        <v>20297.3</v>
      </c>
      <c r="AB197" s="58">
        <v>2020</v>
      </c>
      <c r="AC197" s="103"/>
    </row>
    <row r="198" spans="1:30" s="76" customFormat="1" x14ac:dyDescent="0.3">
      <c r="A198" s="54" t="s">
        <v>18</v>
      </c>
      <c r="B198" s="54" t="s">
        <v>18</v>
      </c>
      <c r="C198" s="54" t="s">
        <v>21</v>
      </c>
      <c r="D198" s="54" t="s">
        <v>18</v>
      </c>
      <c r="E198" s="54" t="s">
        <v>24</v>
      </c>
      <c r="F198" s="54" t="s">
        <v>18</v>
      </c>
      <c r="G198" s="54" t="s">
        <v>43</v>
      </c>
      <c r="H198" s="54" t="s">
        <v>19</v>
      </c>
      <c r="I198" s="54" t="s">
        <v>24</v>
      </c>
      <c r="J198" s="54" t="s">
        <v>18</v>
      </c>
      <c r="K198" s="54" t="s">
        <v>18</v>
      </c>
      <c r="L198" s="54" t="s">
        <v>20</v>
      </c>
      <c r="M198" s="54" t="s">
        <v>37</v>
      </c>
      <c r="N198" s="54" t="s">
        <v>18</v>
      </c>
      <c r="O198" s="54" t="s">
        <v>177</v>
      </c>
      <c r="P198" s="54" t="s">
        <v>21</v>
      </c>
      <c r="Q198" s="54" t="s">
        <v>25</v>
      </c>
      <c r="R198" s="160"/>
      <c r="S198" s="55" t="s">
        <v>0</v>
      </c>
      <c r="T198" s="1">
        <v>0</v>
      </c>
      <c r="U198" s="1">
        <f>4199.9+588.4+1708.4-290-845.8</f>
        <v>5360.8999999999987</v>
      </c>
      <c r="V198" s="1">
        <f>1355-1355</f>
        <v>0</v>
      </c>
      <c r="W198" s="1">
        <f>1500-1500</f>
        <v>0</v>
      </c>
      <c r="X198" s="1">
        <f>1500-1500</f>
        <v>0</v>
      </c>
      <c r="Y198" s="1">
        <f>1500-1500</f>
        <v>0</v>
      </c>
      <c r="Z198" s="1">
        <f>1500-1500</f>
        <v>0</v>
      </c>
      <c r="AA198" s="59">
        <f t="shared" si="84"/>
        <v>5360.8999999999987</v>
      </c>
      <c r="AB198" s="58">
        <v>2020</v>
      </c>
      <c r="AC198" s="103"/>
    </row>
    <row r="199" spans="1:30" s="76" customFormat="1" x14ac:dyDescent="0.3">
      <c r="A199" s="54" t="s">
        <v>18</v>
      </c>
      <c r="B199" s="54" t="s">
        <v>18</v>
      </c>
      <c r="C199" s="54" t="s">
        <v>21</v>
      </c>
      <c r="D199" s="54" t="s">
        <v>18</v>
      </c>
      <c r="E199" s="54" t="s">
        <v>24</v>
      </c>
      <c r="F199" s="54" t="s">
        <v>18</v>
      </c>
      <c r="G199" s="54" t="s">
        <v>43</v>
      </c>
      <c r="H199" s="54" t="s">
        <v>19</v>
      </c>
      <c r="I199" s="54" t="s">
        <v>24</v>
      </c>
      <c r="J199" s="54" t="s">
        <v>18</v>
      </c>
      <c r="K199" s="54" t="s">
        <v>18</v>
      </c>
      <c r="L199" s="54" t="s">
        <v>20</v>
      </c>
      <c r="M199" s="54" t="s">
        <v>43</v>
      </c>
      <c r="N199" s="54" t="s">
        <v>43</v>
      </c>
      <c r="O199" s="54" t="s">
        <v>43</v>
      </c>
      <c r="P199" s="54" t="s">
        <v>43</v>
      </c>
      <c r="Q199" s="54" t="s">
        <v>43</v>
      </c>
      <c r="R199" s="160"/>
      <c r="S199" s="55" t="s">
        <v>0</v>
      </c>
      <c r="T199" s="1">
        <v>0</v>
      </c>
      <c r="U199" s="1">
        <f>145-145+100+449.4+12.6+23.8-373.9</f>
        <v>211.89999999999998</v>
      </c>
      <c r="V199" s="1">
        <f>145-115</f>
        <v>30</v>
      </c>
      <c r="W199" s="1">
        <v>0</v>
      </c>
      <c r="X199" s="1">
        <v>0</v>
      </c>
      <c r="Y199" s="1">
        <v>0</v>
      </c>
      <c r="Z199" s="1">
        <v>0</v>
      </c>
      <c r="AA199" s="59">
        <f>SUM(T199:Z199)</f>
        <v>241.89999999999998</v>
      </c>
      <c r="AB199" s="58">
        <v>2020</v>
      </c>
      <c r="AC199" s="103"/>
    </row>
    <row r="200" spans="1:30" s="76" customFormat="1" ht="66" customHeight="1" x14ac:dyDescent="0.3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40" t="s">
        <v>294</v>
      </c>
      <c r="S200" s="62" t="s">
        <v>52</v>
      </c>
      <c r="T200" s="44">
        <v>0</v>
      </c>
      <c r="U200" s="3">
        <v>11.9</v>
      </c>
      <c r="V200" s="3">
        <f>4-4</f>
        <v>0</v>
      </c>
      <c r="W200" s="3">
        <v>0</v>
      </c>
      <c r="X200" s="3">
        <v>0</v>
      </c>
      <c r="Y200" s="3">
        <v>0</v>
      </c>
      <c r="Z200" s="3">
        <v>0</v>
      </c>
      <c r="AA200" s="49">
        <f>SUM(T200:Z200)</f>
        <v>11.9</v>
      </c>
      <c r="AB200" s="41">
        <v>2020</v>
      </c>
      <c r="AC200" s="103"/>
    </row>
    <row r="201" spans="1:30" s="76" customFormat="1" ht="51.6" customHeight="1" x14ac:dyDescent="0.3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80" t="s">
        <v>295</v>
      </c>
      <c r="S201" s="62" t="s">
        <v>38</v>
      </c>
      <c r="T201" s="44">
        <v>0</v>
      </c>
      <c r="U201" s="44">
        <v>3</v>
      </c>
      <c r="V201" s="44">
        <f>3-3</f>
        <v>0</v>
      </c>
      <c r="W201" s="44">
        <v>0</v>
      </c>
      <c r="X201" s="44">
        <v>0</v>
      </c>
      <c r="Y201" s="44">
        <v>0</v>
      </c>
      <c r="Z201" s="44">
        <v>0</v>
      </c>
      <c r="AA201" s="49">
        <f>SUM(T201:Z201)</f>
        <v>3</v>
      </c>
      <c r="AB201" s="41">
        <v>2020</v>
      </c>
      <c r="AC201" s="103"/>
      <c r="AD201" s="81"/>
    </row>
    <row r="202" spans="1:30" s="133" customFormat="1" ht="62.4" x14ac:dyDescent="0.3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78" t="s">
        <v>302</v>
      </c>
      <c r="S202" s="52" t="s">
        <v>38</v>
      </c>
      <c r="T202" s="44">
        <v>0</v>
      </c>
      <c r="U202" s="44">
        <v>3</v>
      </c>
      <c r="V202" s="44">
        <v>1</v>
      </c>
      <c r="W202" s="44">
        <v>0</v>
      </c>
      <c r="X202" s="44">
        <v>0</v>
      </c>
      <c r="Y202" s="44">
        <v>0</v>
      </c>
      <c r="Z202" s="44">
        <v>0</v>
      </c>
      <c r="AA202" s="49">
        <f>SUM(T202:Z202)</f>
        <v>4</v>
      </c>
      <c r="AB202" s="41">
        <v>2020</v>
      </c>
      <c r="AC202" s="111"/>
      <c r="AD202" s="132"/>
    </row>
    <row r="203" spans="1:30" s="76" customFormat="1" ht="20.399999999999999" customHeight="1" x14ac:dyDescent="0.3">
      <c r="A203" s="54" t="s">
        <v>18</v>
      </c>
      <c r="B203" s="54" t="s">
        <v>18</v>
      </c>
      <c r="C203" s="54" t="s">
        <v>25</v>
      </c>
      <c r="D203" s="54" t="s">
        <v>18</v>
      </c>
      <c r="E203" s="54" t="s">
        <v>24</v>
      </c>
      <c r="F203" s="54" t="s">
        <v>18</v>
      </c>
      <c r="G203" s="54" t="s">
        <v>43</v>
      </c>
      <c r="H203" s="54" t="s">
        <v>19</v>
      </c>
      <c r="I203" s="54" t="s">
        <v>24</v>
      </c>
      <c r="J203" s="54" t="s">
        <v>18</v>
      </c>
      <c r="K203" s="54" t="s">
        <v>18</v>
      </c>
      <c r="L203" s="54" t="s">
        <v>20</v>
      </c>
      <c r="M203" s="54" t="s">
        <v>18</v>
      </c>
      <c r="N203" s="54" t="s">
        <v>18</v>
      </c>
      <c r="O203" s="54" t="s">
        <v>18</v>
      </c>
      <c r="P203" s="54" t="s">
        <v>18</v>
      </c>
      <c r="Q203" s="54" t="s">
        <v>18</v>
      </c>
      <c r="R203" s="160" t="s">
        <v>138</v>
      </c>
      <c r="S203" s="55" t="s">
        <v>0</v>
      </c>
      <c r="T203" s="59">
        <f>T205+T206</f>
        <v>0</v>
      </c>
      <c r="U203" s="59">
        <f>SUM(U204:U206)</f>
        <v>10158.9</v>
      </c>
      <c r="V203" s="59">
        <f t="shared" ref="V203:X203" si="85">SUM(V204:V206)</f>
        <v>491</v>
      </c>
      <c r="W203" s="59">
        <f t="shared" si="85"/>
        <v>0</v>
      </c>
      <c r="X203" s="59">
        <f t="shared" si="85"/>
        <v>0</v>
      </c>
      <c r="Y203" s="59">
        <f t="shared" ref="Y203:Z203" si="86">SUM(Y204:Y206)</f>
        <v>0</v>
      </c>
      <c r="Z203" s="59">
        <f t="shared" si="86"/>
        <v>0</v>
      </c>
      <c r="AA203" s="59">
        <f t="shared" ref="AA203:AA206" si="87">SUM(T203:Z203)</f>
        <v>10649.9</v>
      </c>
      <c r="AB203" s="58">
        <v>2020</v>
      </c>
      <c r="AC203" s="103"/>
    </row>
    <row r="204" spans="1:30" s="76" customFormat="1" x14ac:dyDescent="0.3">
      <c r="A204" s="54" t="s">
        <v>18</v>
      </c>
      <c r="B204" s="54" t="s">
        <v>18</v>
      </c>
      <c r="C204" s="54" t="s">
        <v>25</v>
      </c>
      <c r="D204" s="54" t="s">
        <v>18</v>
      </c>
      <c r="E204" s="54" t="s">
        <v>24</v>
      </c>
      <c r="F204" s="54" t="s">
        <v>18</v>
      </c>
      <c r="G204" s="54" t="s">
        <v>43</v>
      </c>
      <c r="H204" s="54" t="s">
        <v>19</v>
      </c>
      <c r="I204" s="54" t="s">
        <v>24</v>
      </c>
      <c r="J204" s="54" t="s">
        <v>18</v>
      </c>
      <c r="K204" s="54" t="s">
        <v>18</v>
      </c>
      <c r="L204" s="54" t="s">
        <v>20</v>
      </c>
      <c r="M204" s="54" t="s">
        <v>19</v>
      </c>
      <c r="N204" s="54" t="s">
        <v>18</v>
      </c>
      <c r="O204" s="54" t="s">
        <v>177</v>
      </c>
      <c r="P204" s="54" t="s">
        <v>21</v>
      </c>
      <c r="Q204" s="54" t="s">
        <v>25</v>
      </c>
      <c r="R204" s="160"/>
      <c r="S204" s="55" t="s">
        <v>0</v>
      </c>
      <c r="T204" s="1">
        <v>0</v>
      </c>
      <c r="U204" s="1">
        <f>9600-1604.2</f>
        <v>7995.8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59">
        <f t="shared" si="87"/>
        <v>7995.8</v>
      </c>
      <c r="AB204" s="58">
        <v>2020</v>
      </c>
      <c r="AC204" s="103"/>
    </row>
    <row r="205" spans="1:30" s="76" customFormat="1" x14ac:dyDescent="0.3">
      <c r="A205" s="54" t="s">
        <v>18</v>
      </c>
      <c r="B205" s="54" t="s">
        <v>18</v>
      </c>
      <c r="C205" s="54" t="s">
        <v>25</v>
      </c>
      <c r="D205" s="54" t="s">
        <v>18</v>
      </c>
      <c r="E205" s="54" t="s">
        <v>24</v>
      </c>
      <c r="F205" s="54" t="s">
        <v>18</v>
      </c>
      <c r="G205" s="54" t="s">
        <v>43</v>
      </c>
      <c r="H205" s="54" t="s">
        <v>19</v>
      </c>
      <c r="I205" s="54" t="s">
        <v>24</v>
      </c>
      <c r="J205" s="54" t="s">
        <v>18</v>
      </c>
      <c r="K205" s="54" t="s">
        <v>18</v>
      </c>
      <c r="L205" s="54" t="s">
        <v>20</v>
      </c>
      <c r="M205" s="54" t="s">
        <v>37</v>
      </c>
      <c r="N205" s="54" t="s">
        <v>18</v>
      </c>
      <c r="O205" s="54" t="s">
        <v>177</v>
      </c>
      <c r="P205" s="54" t="s">
        <v>21</v>
      </c>
      <c r="Q205" s="54" t="s">
        <v>25</v>
      </c>
      <c r="R205" s="160"/>
      <c r="S205" s="55" t="s">
        <v>0</v>
      </c>
      <c r="T205" s="1">
        <v>0</v>
      </c>
      <c r="U205" s="1">
        <f>2401-402-43.9</f>
        <v>1955.1</v>
      </c>
      <c r="V205" s="1">
        <f>798.8-798.8</f>
        <v>0</v>
      </c>
      <c r="W205" s="1">
        <f>1500-1500</f>
        <v>0</v>
      </c>
      <c r="X205" s="1">
        <f>1500-1500</f>
        <v>0</v>
      </c>
      <c r="Y205" s="1">
        <f>1500-1500</f>
        <v>0</v>
      </c>
      <c r="Z205" s="1">
        <f>1500-1500</f>
        <v>0</v>
      </c>
      <c r="AA205" s="59">
        <f t="shared" si="87"/>
        <v>1955.1</v>
      </c>
      <c r="AB205" s="58">
        <v>2020</v>
      </c>
      <c r="AC205" s="103"/>
    </row>
    <row r="206" spans="1:30" s="76" customFormat="1" x14ac:dyDescent="0.3">
      <c r="A206" s="54" t="s">
        <v>18</v>
      </c>
      <c r="B206" s="54" t="s">
        <v>18</v>
      </c>
      <c r="C206" s="54" t="s">
        <v>25</v>
      </c>
      <c r="D206" s="54" t="s">
        <v>18</v>
      </c>
      <c r="E206" s="54" t="s">
        <v>24</v>
      </c>
      <c r="F206" s="54" t="s">
        <v>18</v>
      </c>
      <c r="G206" s="54" t="s">
        <v>43</v>
      </c>
      <c r="H206" s="54" t="s">
        <v>19</v>
      </c>
      <c r="I206" s="54" t="s">
        <v>24</v>
      </c>
      <c r="J206" s="54" t="s">
        <v>18</v>
      </c>
      <c r="K206" s="54" t="s">
        <v>18</v>
      </c>
      <c r="L206" s="54" t="s">
        <v>20</v>
      </c>
      <c r="M206" s="54" t="s">
        <v>43</v>
      </c>
      <c r="N206" s="54" t="s">
        <v>43</v>
      </c>
      <c r="O206" s="54" t="s">
        <v>43</v>
      </c>
      <c r="P206" s="54" t="s">
        <v>43</v>
      </c>
      <c r="Q206" s="54" t="s">
        <v>43</v>
      </c>
      <c r="R206" s="160"/>
      <c r="S206" s="55" t="s">
        <v>0</v>
      </c>
      <c r="T206" s="1">
        <v>0</v>
      </c>
      <c r="U206" s="1">
        <f>356.9+402-550.9</f>
        <v>208</v>
      </c>
      <c r="V206" s="1">
        <f>701.2-88.6-121.6</f>
        <v>491</v>
      </c>
      <c r="W206" s="1">
        <v>0</v>
      </c>
      <c r="X206" s="1">
        <v>0</v>
      </c>
      <c r="Y206" s="1">
        <v>0</v>
      </c>
      <c r="Z206" s="1">
        <v>0</v>
      </c>
      <c r="AA206" s="59">
        <f t="shared" si="87"/>
        <v>699</v>
      </c>
      <c r="AB206" s="58">
        <v>2020</v>
      </c>
      <c r="AC206" s="103"/>
    </row>
    <row r="207" spans="1:30" s="76" customFormat="1" ht="62.4" x14ac:dyDescent="0.3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78" t="s">
        <v>296</v>
      </c>
      <c r="S207" s="62" t="s">
        <v>52</v>
      </c>
      <c r="T207" s="3">
        <v>0</v>
      </c>
      <c r="U207" s="3">
        <v>4.0999999999999996</v>
      </c>
      <c r="V207" s="3">
        <f>1.3-1.3</f>
        <v>0</v>
      </c>
      <c r="W207" s="3">
        <v>0</v>
      </c>
      <c r="X207" s="3">
        <v>0</v>
      </c>
      <c r="Y207" s="3">
        <v>0</v>
      </c>
      <c r="Z207" s="3">
        <v>0</v>
      </c>
      <c r="AA207" s="6">
        <f>SUM(T207:Z207)</f>
        <v>4.0999999999999996</v>
      </c>
      <c r="AB207" s="41">
        <v>2020</v>
      </c>
      <c r="AC207" s="103"/>
    </row>
    <row r="208" spans="1:30" s="76" customFormat="1" ht="45" customHeight="1" x14ac:dyDescent="0.3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80" t="s">
        <v>297</v>
      </c>
      <c r="S208" s="62" t="s">
        <v>38</v>
      </c>
      <c r="T208" s="44">
        <v>0</v>
      </c>
      <c r="U208" s="44">
        <v>5</v>
      </c>
      <c r="V208" s="44">
        <f>1-1</f>
        <v>0</v>
      </c>
      <c r="W208" s="44">
        <v>0</v>
      </c>
      <c r="X208" s="44">
        <v>0</v>
      </c>
      <c r="Y208" s="44">
        <v>0</v>
      </c>
      <c r="Z208" s="44">
        <v>0</v>
      </c>
      <c r="AA208" s="6">
        <f t="shared" ref="AA208:AA209" si="88">SUM(T208:Z208)</f>
        <v>5</v>
      </c>
      <c r="AB208" s="41">
        <v>2020</v>
      </c>
      <c r="AC208" s="103"/>
      <c r="AD208" s="81"/>
    </row>
    <row r="209" spans="1:31" s="133" customFormat="1" ht="62.4" x14ac:dyDescent="0.3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78" t="s">
        <v>350</v>
      </c>
      <c r="S209" s="52" t="s">
        <v>38</v>
      </c>
      <c r="T209" s="44">
        <v>0</v>
      </c>
      <c r="U209" s="44">
        <v>5</v>
      </c>
      <c r="V209" s="44">
        <v>8</v>
      </c>
      <c r="W209" s="44">
        <v>0</v>
      </c>
      <c r="X209" s="44">
        <v>0</v>
      </c>
      <c r="Y209" s="44">
        <v>0</v>
      </c>
      <c r="Z209" s="44">
        <v>0</v>
      </c>
      <c r="AA209" s="49">
        <f t="shared" si="88"/>
        <v>13</v>
      </c>
      <c r="AB209" s="41">
        <v>2020</v>
      </c>
      <c r="AC209" s="111"/>
      <c r="AD209" s="132"/>
    </row>
    <row r="210" spans="1:31" s="76" customFormat="1" ht="20.399999999999999" customHeight="1" x14ac:dyDescent="0.3">
      <c r="A210" s="54" t="s">
        <v>18</v>
      </c>
      <c r="B210" s="54" t="s">
        <v>19</v>
      </c>
      <c r="C210" s="54" t="s">
        <v>20</v>
      </c>
      <c r="D210" s="54" t="s">
        <v>18</v>
      </c>
      <c r="E210" s="54" t="s">
        <v>24</v>
      </c>
      <c r="F210" s="54" t="s">
        <v>18</v>
      </c>
      <c r="G210" s="54" t="s">
        <v>43</v>
      </c>
      <c r="H210" s="54" t="s">
        <v>19</v>
      </c>
      <c r="I210" s="54" t="s">
        <v>24</v>
      </c>
      <c r="J210" s="54" t="s">
        <v>18</v>
      </c>
      <c r="K210" s="54" t="s">
        <v>18</v>
      </c>
      <c r="L210" s="54" t="s">
        <v>20</v>
      </c>
      <c r="M210" s="54" t="s">
        <v>18</v>
      </c>
      <c r="N210" s="54" t="s">
        <v>18</v>
      </c>
      <c r="O210" s="54" t="s">
        <v>18</v>
      </c>
      <c r="P210" s="54" t="s">
        <v>18</v>
      </c>
      <c r="Q210" s="54" t="s">
        <v>18</v>
      </c>
      <c r="R210" s="160" t="s">
        <v>138</v>
      </c>
      <c r="S210" s="55" t="s">
        <v>0</v>
      </c>
      <c r="T210" s="59">
        <f t="shared" ref="T210:Y210" si="89">SUM(T211:T213)</f>
        <v>123487.5</v>
      </c>
      <c r="U210" s="59">
        <f t="shared" si="89"/>
        <v>579.5</v>
      </c>
      <c r="V210" s="59">
        <f t="shared" si="89"/>
        <v>0</v>
      </c>
      <c r="W210" s="59">
        <f t="shared" si="89"/>
        <v>0</v>
      </c>
      <c r="X210" s="59">
        <f t="shared" si="89"/>
        <v>0</v>
      </c>
      <c r="Y210" s="59">
        <f t="shared" si="89"/>
        <v>0</v>
      </c>
      <c r="Z210" s="59">
        <f t="shared" ref="Z210" si="90">SUM(Z211:Z213)</f>
        <v>0</v>
      </c>
      <c r="AA210" s="59">
        <f t="shared" ref="AA210:AA215" si="91">SUM(T210:Z210)</f>
        <v>124067</v>
      </c>
      <c r="AB210" s="58">
        <v>2019</v>
      </c>
      <c r="AC210" s="120"/>
    </row>
    <row r="211" spans="1:31" s="76" customFormat="1" x14ac:dyDescent="0.3">
      <c r="A211" s="54" t="s">
        <v>18</v>
      </c>
      <c r="B211" s="54" t="s">
        <v>19</v>
      </c>
      <c r="C211" s="54" t="s">
        <v>20</v>
      </c>
      <c r="D211" s="54" t="s">
        <v>18</v>
      </c>
      <c r="E211" s="54" t="s">
        <v>24</v>
      </c>
      <c r="F211" s="54" t="s">
        <v>18</v>
      </c>
      <c r="G211" s="54" t="s">
        <v>43</v>
      </c>
      <c r="H211" s="54" t="s">
        <v>19</v>
      </c>
      <c r="I211" s="54" t="s">
        <v>24</v>
      </c>
      <c r="J211" s="54" t="s">
        <v>18</v>
      </c>
      <c r="K211" s="54" t="s">
        <v>18</v>
      </c>
      <c r="L211" s="54" t="s">
        <v>20</v>
      </c>
      <c r="M211" s="54" t="s">
        <v>19</v>
      </c>
      <c r="N211" s="54" t="s">
        <v>18</v>
      </c>
      <c r="O211" s="54" t="s">
        <v>177</v>
      </c>
      <c r="P211" s="54" t="s">
        <v>21</v>
      </c>
      <c r="Q211" s="54" t="s">
        <v>25</v>
      </c>
      <c r="R211" s="160"/>
      <c r="S211" s="55" t="s">
        <v>0</v>
      </c>
      <c r="T211" s="1">
        <v>78128.899999999994</v>
      </c>
      <c r="U211" s="1">
        <f>57600.3-57600.3</f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59">
        <f t="shared" si="91"/>
        <v>78128.899999999994</v>
      </c>
      <c r="AB211" s="58">
        <v>2018</v>
      </c>
      <c r="AC211" s="33"/>
    </row>
    <row r="212" spans="1:31" s="76" customFormat="1" x14ac:dyDescent="0.3">
      <c r="A212" s="54" t="s">
        <v>18</v>
      </c>
      <c r="B212" s="54" t="s">
        <v>19</v>
      </c>
      <c r="C212" s="54" t="s">
        <v>20</v>
      </c>
      <c r="D212" s="54" t="s">
        <v>18</v>
      </c>
      <c r="E212" s="54" t="s">
        <v>24</v>
      </c>
      <c r="F212" s="54" t="s">
        <v>18</v>
      </c>
      <c r="G212" s="54" t="s">
        <v>43</v>
      </c>
      <c r="H212" s="54" t="s">
        <v>19</v>
      </c>
      <c r="I212" s="54" t="s">
        <v>24</v>
      </c>
      <c r="J212" s="54" t="s">
        <v>18</v>
      </c>
      <c r="K212" s="54" t="s">
        <v>18</v>
      </c>
      <c r="L212" s="54" t="s">
        <v>20</v>
      </c>
      <c r="M212" s="54" t="s">
        <v>37</v>
      </c>
      <c r="N212" s="54" t="s">
        <v>18</v>
      </c>
      <c r="O212" s="54" t="s">
        <v>177</v>
      </c>
      <c r="P212" s="54" t="s">
        <v>21</v>
      </c>
      <c r="Q212" s="54" t="s">
        <v>25</v>
      </c>
      <c r="R212" s="160"/>
      <c r="S212" s="55" t="s">
        <v>0</v>
      </c>
      <c r="T212" s="1">
        <f>18932.6+19997.4+4074.8+2495.5-26-605.7-796.8</f>
        <v>44071.8</v>
      </c>
      <c r="U212" s="1">
        <f>0+14400.7-14400.7</f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59">
        <f t="shared" si="91"/>
        <v>44071.8</v>
      </c>
      <c r="AB212" s="58">
        <v>2018</v>
      </c>
      <c r="AC212" s="33"/>
    </row>
    <row r="213" spans="1:31" s="76" customFormat="1" x14ac:dyDescent="0.3">
      <c r="A213" s="54" t="s">
        <v>18</v>
      </c>
      <c r="B213" s="54" t="s">
        <v>19</v>
      </c>
      <c r="C213" s="54" t="s">
        <v>20</v>
      </c>
      <c r="D213" s="54" t="s">
        <v>18</v>
      </c>
      <c r="E213" s="54" t="s">
        <v>24</v>
      </c>
      <c r="F213" s="54" t="s">
        <v>18</v>
      </c>
      <c r="G213" s="54" t="s">
        <v>43</v>
      </c>
      <c r="H213" s="54" t="s">
        <v>19</v>
      </c>
      <c r="I213" s="54" t="s">
        <v>24</v>
      </c>
      <c r="J213" s="54" t="s">
        <v>18</v>
      </c>
      <c r="K213" s="54" t="s">
        <v>18</v>
      </c>
      <c r="L213" s="54" t="s">
        <v>20</v>
      </c>
      <c r="M213" s="54" t="s">
        <v>43</v>
      </c>
      <c r="N213" s="54" t="s">
        <v>43</v>
      </c>
      <c r="O213" s="54" t="s">
        <v>43</v>
      </c>
      <c r="P213" s="54" t="s">
        <v>43</v>
      </c>
      <c r="Q213" s="54" t="s">
        <v>43</v>
      </c>
      <c r="R213" s="160"/>
      <c r="S213" s="55" t="s">
        <v>0</v>
      </c>
      <c r="T213" s="1">
        <f>2076.9+439-203.1-904.8-121.2</f>
        <v>1286.8000000000002</v>
      </c>
      <c r="U213" s="1">
        <v>579.5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59">
        <f t="shared" si="91"/>
        <v>1866.3000000000002</v>
      </c>
      <c r="AB213" s="58">
        <v>2019</v>
      </c>
      <c r="AC213" s="33"/>
    </row>
    <row r="214" spans="1:31" s="133" customFormat="1" ht="60.6" customHeight="1" x14ac:dyDescent="0.3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78" t="s">
        <v>298</v>
      </c>
      <c r="S214" s="52" t="s">
        <v>52</v>
      </c>
      <c r="T214" s="3">
        <v>58.6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6">
        <f t="shared" si="91"/>
        <v>58.6</v>
      </c>
      <c r="AB214" s="41">
        <v>2018</v>
      </c>
      <c r="AC214" s="111"/>
    </row>
    <row r="215" spans="1:31" s="133" customFormat="1" ht="46.8" x14ac:dyDescent="0.3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78" t="s">
        <v>299</v>
      </c>
      <c r="S215" s="52" t="s">
        <v>38</v>
      </c>
      <c r="T215" s="44">
        <v>28</v>
      </c>
      <c r="U215" s="44">
        <v>0</v>
      </c>
      <c r="V215" s="44">
        <v>0</v>
      </c>
      <c r="W215" s="44">
        <v>0</v>
      </c>
      <c r="X215" s="44">
        <v>0</v>
      </c>
      <c r="Y215" s="44">
        <v>0</v>
      </c>
      <c r="Z215" s="44">
        <v>0</v>
      </c>
      <c r="AA215" s="49">
        <f t="shared" si="91"/>
        <v>28</v>
      </c>
      <c r="AB215" s="41">
        <v>2018</v>
      </c>
      <c r="AC215" s="111"/>
      <c r="AD215" s="132"/>
    </row>
    <row r="216" spans="1:31" s="76" customFormat="1" ht="37.950000000000003" customHeight="1" x14ac:dyDescent="0.3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77" t="s">
        <v>183</v>
      </c>
      <c r="S216" s="55" t="s">
        <v>49</v>
      </c>
      <c r="T216" s="56">
        <v>1</v>
      </c>
      <c r="U216" s="56">
        <v>1</v>
      </c>
      <c r="V216" s="56">
        <v>1</v>
      </c>
      <c r="W216" s="56">
        <v>1</v>
      </c>
      <c r="X216" s="56">
        <v>1</v>
      </c>
      <c r="Y216" s="56">
        <v>1</v>
      </c>
      <c r="Z216" s="56">
        <v>1</v>
      </c>
      <c r="AA216" s="57">
        <v>1</v>
      </c>
      <c r="AB216" s="58">
        <v>2024</v>
      </c>
      <c r="AC216" s="33"/>
    </row>
    <row r="217" spans="1:31" ht="39" customHeight="1" x14ac:dyDescent="0.3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78" t="s">
        <v>139</v>
      </c>
      <c r="S217" s="41" t="s">
        <v>50</v>
      </c>
      <c r="T217" s="44">
        <f>25+19+31+16</f>
        <v>91</v>
      </c>
      <c r="U217" s="44">
        <f>6+15+31+5</f>
        <v>57</v>
      </c>
      <c r="V217" s="44">
        <f>50+19+31+70-60-49</f>
        <v>61</v>
      </c>
      <c r="W217" s="44">
        <f t="shared" ref="W217:Z217" si="92">50+19+31+70-60-49</f>
        <v>61</v>
      </c>
      <c r="X217" s="44">
        <f t="shared" si="92"/>
        <v>61</v>
      </c>
      <c r="Y217" s="44">
        <f t="shared" si="92"/>
        <v>61</v>
      </c>
      <c r="Z217" s="44">
        <f t="shared" si="92"/>
        <v>61</v>
      </c>
      <c r="AA217" s="49">
        <f>SUM(T217:Z217)</f>
        <v>453</v>
      </c>
      <c r="AB217" s="41">
        <v>2024</v>
      </c>
      <c r="AC217" s="128"/>
      <c r="AD217" s="101"/>
      <c r="AE217" s="101"/>
    </row>
    <row r="218" spans="1:31" ht="42" customHeight="1" x14ac:dyDescent="0.3">
      <c r="A218" s="54"/>
      <c r="B218" s="54"/>
      <c r="C218" s="54"/>
      <c r="D218" s="54"/>
      <c r="E218" s="54"/>
      <c r="F218" s="54"/>
      <c r="G218" s="54"/>
      <c r="H218" s="54" t="s">
        <v>19</v>
      </c>
      <c r="I218" s="54" t="s">
        <v>24</v>
      </c>
      <c r="J218" s="54" t="s">
        <v>18</v>
      </c>
      <c r="K218" s="54" t="s">
        <v>18</v>
      </c>
      <c r="L218" s="54" t="s">
        <v>20</v>
      </c>
      <c r="M218" s="54" t="s">
        <v>18</v>
      </c>
      <c r="N218" s="54" t="s">
        <v>18</v>
      </c>
      <c r="O218" s="54" t="s">
        <v>18</v>
      </c>
      <c r="P218" s="54" t="s">
        <v>18</v>
      </c>
      <c r="Q218" s="54" t="s">
        <v>18</v>
      </c>
      <c r="R218" s="77" t="s">
        <v>140</v>
      </c>
      <c r="S218" s="58" t="s">
        <v>0</v>
      </c>
      <c r="T218" s="59">
        <f>T221+T265+T396+T305+T470</f>
        <v>22266.715</v>
      </c>
      <c r="U218" s="59">
        <f>U221+U265+U396+U305+U470</f>
        <v>22466.400000000001</v>
      </c>
      <c r="V218" s="59">
        <f>V221+V265+V396+V305+V470</f>
        <v>7085.3</v>
      </c>
      <c r="W218" s="59">
        <v>0</v>
      </c>
      <c r="X218" s="59">
        <v>0</v>
      </c>
      <c r="Y218" s="59">
        <v>0</v>
      </c>
      <c r="Z218" s="59">
        <v>8228.2999999999993</v>
      </c>
      <c r="AA218" s="59">
        <f>SUM(T218:Z218)</f>
        <v>60046.715000000011</v>
      </c>
      <c r="AB218" s="58">
        <v>2024</v>
      </c>
      <c r="AC218" s="37"/>
      <c r="AD218" s="101"/>
      <c r="AE218" s="101"/>
    </row>
    <row r="219" spans="1:31" ht="31.2" x14ac:dyDescent="0.3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80" t="s">
        <v>187</v>
      </c>
      <c r="S219" s="62" t="s">
        <v>52</v>
      </c>
      <c r="T219" s="3">
        <f>T272+T313+T402</f>
        <v>4.4000000000000004</v>
      </c>
      <c r="U219" s="3">
        <f>U272+U313+U402+U228</f>
        <v>4</v>
      </c>
      <c r="V219" s="3">
        <f>V272+V313+V402+V228</f>
        <v>1.7000000000000002</v>
      </c>
      <c r="W219" s="3">
        <f t="shared" ref="W219:Y219" si="93">W272+W313+W402+W228</f>
        <v>0</v>
      </c>
      <c r="X219" s="3">
        <f t="shared" si="93"/>
        <v>0</v>
      </c>
      <c r="Y219" s="3">
        <f t="shared" si="93"/>
        <v>0</v>
      </c>
      <c r="Z219" s="3">
        <v>7</v>
      </c>
      <c r="AA219" s="6">
        <f>SUM(T219:Z219)</f>
        <v>17.100000000000001</v>
      </c>
      <c r="AB219" s="41">
        <v>2024</v>
      </c>
      <c r="AC219" s="9"/>
      <c r="AD219" s="101"/>
      <c r="AE219" s="101"/>
    </row>
    <row r="220" spans="1:31" ht="31.2" x14ac:dyDescent="0.3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61" t="s">
        <v>184</v>
      </c>
      <c r="S220" s="41" t="s">
        <v>50</v>
      </c>
      <c r="T220" s="44">
        <f>T229+T273+T314+T404</f>
        <v>30</v>
      </c>
      <c r="U220" s="44">
        <f>U229+U273+U314+U404</f>
        <v>22</v>
      </c>
      <c r="V220" s="44">
        <f>V229+V273+V314+V404</f>
        <v>7</v>
      </c>
      <c r="W220" s="44">
        <f t="shared" ref="W220:Y220" si="94">W229+W273+W314+W404</f>
        <v>0</v>
      </c>
      <c r="X220" s="44">
        <f t="shared" si="94"/>
        <v>0</v>
      </c>
      <c r="Y220" s="44">
        <f t="shared" si="94"/>
        <v>0</v>
      </c>
      <c r="Z220" s="44">
        <v>7</v>
      </c>
      <c r="AA220" s="49">
        <f>SUM(T220:Z220)</f>
        <v>66</v>
      </c>
      <c r="AB220" s="41">
        <v>2024</v>
      </c>
      <c r="AC220" s="9"/>
      <c r="AD220" s="101"/>
      <c r="AE220" s="101"/>
    </row>
    <row r="221" spans="1:31" x14ac:dyDescent="0.3">
      <c r="A221" s="54" t="s">
        <v>18</v>
      </c>
      <c r="B221" s="54" t="s">
        <v>18</v>
      </c>
      <c r="C221" s="54" t="s">
        <v>22</v>
      </c>
      <c r="D221" s="54" t="s">
        <v>18</v>
      </c>
      <c r="E221" s="54" t="s">
        <v>18</v>
      </c>
      <c r="F221" s="54" t="s">
        <v>18</v>
      </c>
      <c r="G221" s="54" t="s">
        <v>18</v>
      </c>
      <c r="H221" s="54" t="s">
        <v>19</v>
      </c>
      <c r="I221" s="54" t="s">
        <v>24</v>
      </c>
      <c r="J221" s="54" t="s">
        <v>18</v>
      </c>
      <c r="K221" s="54" t="s">
        <v>18</v>
      </c>
      <c r="L221" s="54" t="s">
        <v>20</v>
      </c>
      <c r="M221" s="54" t="s">
        <v>18</v>
      </c>
      <c r="N221" s="54" t="s">
        <v>18</v>
      </c>
      <c r="O221" s="54" t="s">
        <v>18</v>
      </c>
      <c r="P221" s="54" t="s">
        <v>18</v>
      </c>
      <c r="Q221" s="54" t="s">
        <v>18</v>
      </c>
      <c r="R221" s="160" t="s">
        <v>140</v>
      </c>
      <c r="S221" s="63" t="s">
        <v>0</v>
      </c>
      <c r="T221" s="59">
        <f t="shared" ref="T221:Z221" si="95">SUM(T222:T226)</f>
        <v>2922.6</v>
      </c>
      <c r="U221" s="59">
        <f t="shared" si="95"/>
        <v>6574.9</v>
      </c>
      <c r="V221" s="59">
        <f>SUM(V222:V226)</f>
        <v>3964.5</v>
      </c>
      <c r="W221" s="59">
        <f t="shared" si="95"/>
        <v>0</v>
      </c>
      <c r="X221" s="59">
        <f t="shared" si="95"/>
        <v>0</v>
      </c>
      <c r="Y221" s="59">
        <f t="shared" si="95"/>
        <v>0</v>
      </c>
      <c r="Z221" s="59">
        <f t="shared" si="95"/>
        <v>0</v>
      </c>
      <c r="AA221" s="59">
        <f>SUM(T221:Y221)</f>
        <v>13462</v>
      </c>
      <c r="AB221" s="58">
        <v>2020</v>
      </c>
      <c r="AC221" s="124"/>
      <c r="AD221" s="101"/>
      <c r="AE221" s="101"/>
    </row>
    <row r="222" spans="1:31" x14ac:dyDescent="0.3">
      <c r="A222" s="54" t="s">
        <v>18</v>
      </c>
      <c r="B222" s="54" t="s">
        <v>18</v>
      </c>
      <c r="C222" s="54" t="s">
        <v>22</v>
      </c>
      <c r="D222" s="54" t="s">
        <v>18</v>
      </c>
      <c r="E222" s="54" t="s">
        <v>18</v>
      </c>
      <c r="F222" s="54" t="s">
        <v>18</v>
      </c>
      <c r="G222" s="54" t="s">
        <v>18</v>
      </c>
      <c r="H222" s="54" t="s">
        <v>19</v>
      </c>
      <c r="I222" s="54" t="s">
        <v>24</v>
      </c>
      <c r="J222" s="54" t="s">
        <v>18</v>
      </c>
      <c r="K222" s="54" t="s">
        <v>18</v>
      </c>
      <c r="L222" s="54" t="s">
        <v>20</v>
      </c>
      <c r="M222" s="54" t="s">
        <v>19</v>
      </c>
      <c r="N222" s="54" t="s">
        <v>18</v>
      </c>
      <c r="O222" s="54" t="s">
        <v>24</v>
      </c>
      <c r="P222" s="54" t="s">
        <v>22</v>
      </c>
      <c r="Q222" s="54" t="s">
        <v>45</v>
      </c>
      <c r="R222" s="160"/>
      <c r="S222" s="63" t="s">
        <v>0</v>
      </c>
      <c r="T222" s="1">
        <f>T231+T236+T241+T247+T253+T260</f>
        <v>1229.5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59">
        <f t="shared" ref="AA222:AA229" si="96">SUM(T222:Y222)</f>
        <v>1229.5</v>
      </c>
      <c r="AB222" s="58">
        <v>2018</v>
      </c>
      <c r="AC222" s="124"/>
      <c r="AD222" s="101"/>
      <c r="AE222" s="101"/>
    </row>
    <row r="223" spans="1:31" x14ac:dyDescent="0.3">
      <c r="A223" s="54" t="s">
        <v>18</v>
      </c>
      <c r="B223" s="54" t="s">
        <v>18</v>
      </c>
      <c r="C223" s="54" t="s">
        <v>22</v>
      </c>
      <c r="D223" s="54" t="s">
        <v>18</v>
      </c>
      <c r="E223" s="54" t="s">
        <v>18</v>
      </c>
      <c r="F223" s="54" t="s">
        <v>18</v>
      </c>
      <c r="G223" s="54" t="s">
        <v>18</v>
      </c>
      <c r="H223" s="54" t="s">
        <v>19</v>
      </c>
      <c r="I223" s="54" t="s">
        <v>24</v>
      </c>
      <c r="J223" s="54" t="s">
        <v>18</v>
      </c>
      <c r="K223" s="54" t="s">
        <v>18</v>
      </c>
      <c r="L223" s="54" t="s">
        <v>20</v>
      </c>
      <c r="M223" s="54" t="s">
        <v>37</v>
      </c>
      <c r="N223" s="54" t="s">
        <v>18</v>
      </c>
      <c r="O223" s="54" t="s">
        <v>24</v>
      </c>
      <c r="P223" s="54" t="s">
        <v>22</v>
      </c>
      <c r="Q223" s="54" t="s">
        <v>39</v>
      </c>
      <c r="R223" s="160"/>
      <c r="S223" s="63" t="s">
        <v>0</v>
      </c>
      <c r="T223" s="1">
        <v>1046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59">
        <f t="shared" ref="AA223" si="97">SUM(T223:Y223)</f>
        <v>1046</v>
      </c>
      <c r="AB223" s="58">
        <v>2018</v>
      </c>
      <c r="AC223" s="124"/>
      <c r="AD223" s="101"/>
      <c r="AE223" s="101"/>
    </row>
    <row r="224" spans="1:31" x14ac:dyDescent="0.3">
      <c r="A224" s="54" t="s">
        <v>18</v>
      </c>
      <c r="B224" s="54" t="s">
        <v>18</v>
      </c>
      <c r="C224" s="54" t="s">
        <v>22</v>
      </c>
      <c r="D224" s="54" t="s">
        <v>18</v>
      </c>
      <c r="E224" s="54" t="s">
        <v>18</v>
      </c>
      <c r="F224" s="54" t="s">
        <v>18</v>
      </c>
      <c r="G224" s="54" t="s">
        <v>18</v>
      </c>
      <c r="H224" s="54" t="s">
        <v>19</v>
      </c>
      <c r="I224" s="54" t="s">
        <v>24</v>
      </c>
      <c r="J224" s="54" t="s">
        <v>18</v>
      </c>
      <c r="K224" s="54" t="s">
        <v>18</v>
      </c>
      <c r="L224" s="54" t="s">
        <v>20</v>
      </c>
      <c r="M224" s="54" t="s">
        <v>37</v>
      </c>
      <c r="N224" s="54" t="s">
        <v>18</v>
      </c>
      <c r="O224" s="54" t="s">
        <v>24</v>
      </c>
      <c r="P224" s="54" t="s">
        <v>22</v>
      </c>
      <c r="Q224" s="54" t="s">
        <v>46</v>
      </c>
      <c r="R224" s="160"/>
      <c r="S224" s="63" t="s">
        <v>0</v>
      </c>
      <c r="T224" s="1">
        <f>T232+T237+T242+T243+T248+T249+T254+T255+T261+T262</f>
        <v>647.1</v>
      </c>
      <c r="U224" s="1">
        <v>1329.9</v>
      </c>
      <c r="V224" s="1">
        <v>949.3</v>
      </c>
      <c r="W224" s="1">
        <v>0</v>
      </c>
      <c r="X224" s="1">
        <v>0</v>
      </c>
      <c r="Y224" s="1">
        <v>0</v>
      </c>
      <c r="Z224" s="1">
        <v>0</v>
      </c>
      <c r="AA224" s="59">
        <f t="shared" si="96"/>
        <v>2926.3</v>
      </c>
      <c r="AB224" s="58">
        <v>2020</v>
      </c>
      <c r="AC224" s="124"/>
      <c r="AD224" s="101"/>
      <c r="AE224" s="101"/>
    </row>
    <row r="225" spans="1:31" x14ac:dyDescent="0.3">
      <c r="A225" s="54" t="s">
        <v>18</v>
      </c>
      <c r="B225" s="54" t="s">
        <v>18</v>
      </c>
      <c r="C225" s="54" t="s">
        <v>22</v>
      </c>
      <c r="D225" s="54" t="s">
        <v>18</v>
      </c>
      <c r="E225" s="54" t="s">
        <v>18</v>
      </c>
      <c r="F225" s="54" t="s">
        <v>18</v>
      </c>
      <c r="G225" s="54" t="s">
        <v>18</v>
      </c>
      <c r="H225" s="54" t="s">
        <v>19</v>
      </c>
      <c r="I225" s="54" t="s">
        <v>24</v>
      </c>
      <c r="J225" s="54" t="s">
        <v>18</v>
      </c>
      <c r="K225" s="54" t="s">
        <v>18</v>
      </c>
      <c r="L225" s="54" t="s">
        <v>20</v>
      </c>
      <c r="M225" s="54" t="s">
        <v>19</v>
      </c>
      <c r="N225" s="54" t="s">
        <v>18</v>
      </c>
      <c r="O225" s="54" t="s">
        <v>24</v>
      </c>
      <c r="P225" s="54" t="s">
        <v>22</v>
      </c>
      <c r="Q225" s="54" t="s">
        <v>18</v>
      </c>
      <c r="R225" s="160"/>
      <c r="S225" s="63" t="s">
        <v>0</v>
      </c>
      <c r="T225" s="1">
        <v>0</v>
      </c>
      <c r="U225" s="1">
        <f>2901-2.9</f>
        <v>2898.1</v>
      </c>
      <c r="V225" s="1">
        <f>1721.3-1721.3</f>
        <v>0</v>
      </c>
      <c r="W225" s="1">
        <v>0</v>
      </c>
      <c r="X225" s="1">
        <v>0</v>
      </c>
      <c r="Y225" s="1">
        <v>0</v>
      </c>
      <c r="Z225" s="1">
        <v>0</v>
      </c>
      <c r="AA225" s="59">
        <f t="shared" si="96"/>
        <v>2898.1</v>
      </c>
      <c r="AB225" s="58">
        <v>2020</v>
      </c>
      <c r="AC225" s="124"/>
      <c r="AD225" s="101"/>
      <c r="AE225" s="101"/>
    </row>
    <row r="226" spans="1:31" x14ac:dyDescent="0.3">
      <c r="A226" s="54" t="s">
        <v>18</v>
      </c>
      <c r="B226" s="54" t="s">
        <v>18</v>
      </c>
      <c r="C226" s="54" t="s">
        <v>22</v>
      </c>
      <c r="D226" s="54" t="s">
        <v>18</v>
      </c>
      <c r="E226" s="54" t="s">
        <v>18</v>
      </c>
      <c r="F226" s="54" t="s">
        <v>18</v>
      </c>
      <c r="G226" s="54" t="s">
        <v>18</v>
      </c>
      <c r="H226" s="54" t="s">
        <v>19</v>
      </c>
      <c r="I226" s="54" t="s">
        <v>24</v>
      </c>
      <c r="J226" s="54" t="s">
        <v>18</v>
      </c>
      <c r="K226" s="54" t="s">
        <v>18</v>
      </c>
      <c r="L226" s="54" t="s">
        <v>20</v>
      </c>
      <c r="M226" s="54" t="s">
        <v>37</v>
      </c>
      <c r="N226" s="54" t="s">
        <v>18</v>
      </c>
      <c r="O226" s="54" t="s">
        <v>24</v>
      </c>
      <c r="P226" s="54" t="s">
        <v>22</v>
      </c>
      <c r="Q226" s="54" t="s">
        <v>18</v>
      </c>
      <c r="R226" s="160"/>
      <c r="S226" s="63" t="s">
        <v>0</v>
      </c>
      <c r="T226" s="1">
        <v>0</v>
      </c>
      <c r="U226" s="1">
        <f>2375.1-28.2</f>
        <v>2346.9</v>
      </c>
      <c r="V226" s="1">
        <f>1518.9+1643.8-147.5</f>
        <v>3015.2</v>
      </c>
      <c r="W226" s="1">
        <v>0</v>
      </c>
      <c r="X226" s="1">
        <v>0</v>
      </c>
      <c r="Y226" s="1">
        <v>0</v>
      </c>
      <c r="Z226" s="1">
        <v>0</v>
      </c>
      <c r="AA226" s="59">
        <f t="shared" si="96"/>
        <v>5362.1</v>
      </c>
      <c r="AB226" s="58">
        <v>2020</v>
      </c>
      <c r="AC226" s="124"/>
      <c r="AD226" s="101"/>
      <c r="AE226" s="101"/>
    </row>
    <row r="227" spans="1:31" ht="46.8" x14ac:dyDescent="0.3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78" t="s">
        <v>264</v>
      </c>
      <c r="S227" s="62" t="s">
        <v>52</v>
      </c>
      <c r="T227" s="3">
        <v>8.8000000000000007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6">
        <f t="shared" si="96"/>
        <v>8.8000000000000007</v>
      </c>
      <c r="AB227" s="41">
        <v>2018</v>
      </c>
      <c r="AC227" s="128"/>
      <c r="AD227" s="101"/>
      <c r="AE227" s="101"/>
    </row>
    <row r="228" spans="1:31" ht="46.8" x14ac:dyDescent="0.3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80" t="s">
        <v>308</v>
      </c>
      <c r="S228" s="62" t="s">
        <v>52</v>
      </c>
      <c r="T228" s="3">
        <v>0</v>
      </c>
      <c r="U228" s="3">
        <v>1</v>
      </c>
      <c r="V228" s="3">
        <v>1.1000000000000001</v>
      </c>
      <c r="W228" s="3">
        <v>0</v>
      </c>
      <c r="X228" s="3">
        <v>0</v>
      </c>
      <c r="Y228" s="3">
        <v>0</v>
      </c>
      <c r="Z228" s="3">
        <v>0</v>
      </c>
      <c r="AA228" s="6">
        <f t="shared" si="96"/>
        <v>2.1</v>
      </c>
      <c r="AB228" s="41">
        <v>2020</v>
      </c>
      <c r="AC228" s="128"/>
      <c r="AD228" s="101"/>
      <c r="AE228" s="101"/>
    </row>
    <row r="229" spans="1:31" ht="46.8" x14ac:dyDescent="0.3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78" t="s">
        <v>309</v>
      </c>
      <c r="S229" s="84" t="s">
        <v>50</v>
      </c>
      <c r="T229" s="44">
        <v>3</v>
      </c>
      <c r="U229" s="44">
        <v>6</v>
      </c>
      <c r="V229" s="44">
        <v>4</v>
      </c>
      <c r="W229" s="44">
        <v>0</v>
      </c>
      <c r="X229" s="44">
        <v>0</v>
      </c>
      <c r="Y229" s="44">
        <v>0</v>
      </c>
      <c r="Z229" s="44">
        <v>0</v>
      </c>
      <c r="AA229" s="49">
        <f t="shared" si="96"/>
        <v>13</v>
      </c>
      <c r="AB229" s="41">
        <v>2020</v>
      </c>
      <c r="AC229" s="128"/>
      <c r="AD229" s="101"/>
      <c r="AE229" s="101"/>
    </row>
    <row r="230" spans="1:31" ht="15.6" hidden="1" customHeight="1" x14ac:dyDescent="0.3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160" t="s">
        <v>188</v>
      </c>
      <c r="S230" s="63" t="s">
        <v>0</v>
      </c>
      <c r="T230" s="1">
        <f>SUM(T231:T233)</f>
        <v>998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59">
        <f t="shared" ref="AA230:AA327" si="98">SUM(T230:Y230)</f>
        <v>998</v>
      </c>
      <c r="AB230" s="58">
        <v>2018</v>
      </c>
      <c r="AC230" s="87"/>
      <c r="AD230" s="101">
        <f>T231+T236+T241+T247+T253+T260+T275+T281+T286+T291+T296+T301+T316+T322+T329+T336+T343+T350+T357+T364+T371+T378+T384+T390+T406+T412+T418+T424+T430+T436+T441+T447+T453+T459+T465</f>
        <v>9265.1149999999998</v>
      </c>
      <c r="AE230" s="101"/>
    </row>
    <row r="231" spans="1:31" ht="15.6" hidden="1" customHeight="1" x14ac:dyDescent="0.3">
      <c r="A231" s="54" t="s">
        <v>18</v>
      </c>
      <c r="B231" s="54" t="s">
        <v>18</v>
      </c>
      <c r="C231" s="54" t="s">
        <v>22</v>
      </c>
      <c r="D231" s="54" t="s">
        <v>18</v>
      </c>
      <c r="E231" s="54" t="s">
        <v>21</v>
      </c>
      <c r="F231" s="54" t="s">
        <v>18</v>
      </c>
      <c r="G231" s="54" t="s">
        <v>22</v>
      </c>
      <c r="H231" s="54" t="s">
        <v>19</v>
      </c>
      <c r="I231" s="54" t="s">
        <v>24</v>
      </c>
      <c r="J231" s="54" t="s">
        <v>18</v>
      </c>
      <c r="K231" s="54" t="s">
        <v>18</v>
      </c>
      <c r="L231" s="54" t="s">
        <v>20</v>
      </c>
      <c r="M231" s="54" t="s">
        <v>19</v>
      </c>
      <c r="N231" s="54" t="s">
        <v>18</v>
      </c>
      <c r="O231" s="54" t="s">
        <v>24</v>
      </c>
      <c r="P231" s="54" t="s">
        <v>22</v>
      </c>
      <c r="Q231" s="54" t="s">
        <v>45</v>
      </c>
      <c r="R231" s="160"/>
      <c r="S231" s="63" t="s">
        <v>0</v>
      </c>
      <c r="T231" s="1">
        <v>399.2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59">
        <f t="shared" si="98"/>
        <v>399.2</v>
      </c>
      <c r="AB231" s="58">
        <v>2018</v>
      </c>
      <c r="AC231" s="9"/>
      <c r="AD231" s="101">
        <f>T232+T237+T242+T243+T248+T249+T254+T255+T261+T262+T277+T282+T287+T292+T297+T302+T318+T317+T325+T324+T332+T331+T339+T338+T346+T345+T353+T352+T360+T359+T366+T367+T373+T380+T386+T392+T393+T407+T408+T413+T414+T419+T420+T425+T426+T431+T432+T437+T442+T443+T448+T449+T454+T455+T460+T461+T466+T467+T374</f>
        <v>4643.8</v>
      </c>
      <c r="AE231" s="101"/>
    </row>
    <row r="232" spans="1:31" ht="15.6" hidden="1" customHeight="1" x14ac:dyDescent="0.3">
      <c r="A232" s="54" t="s">
        <v>18</v>
      </c>
      <c r="B232" s="54" t="s">
        <v>18</v>
      </c>
      <c r="C232" s="54" t="s">
        <v>22</v>
      </c>
      <c r="D232" s="54" t="s">
        <v>18</v>
      </c>
      <c r="E232" s="54" t="s">
        <v>21</v>
      </c>
      <c r="F232" s="54" t="s">
        <v>18</v>
      </c>
      <c r="G232" s="54" t="s">
        <v>22</v>
      </c>
      <c r="H232" s="54" t="s">
        <v>19</v>
      </c>
      <c r="I232" s="54" t="s">
        <v>24</v>
      </c>
      <c r="J232" s="54" t="s">
        <v>18</v>
      </c>
      <c r="K232" s="54" t="s">
        <v>18</v>
      </c>
      <c r="L232" s="54" t="s">
        <v>20</v>
      </c>
      <c r="M232" s="54" t="s">
        <v>37</v>
      </c>
      <c r="N232" s="54" t="s">
        <v>18</v>
      </c>
      <c r="O232" s="54" t="s">
        <v>24</v>
      </c>
      <c r="P232" s="54" t="s">
        <v>22</v>
      </c>
      <c r="Q232" s="54" t="s">
        <v>46</v>
      </c>
      <c r="R232" s="160"/>
      <c r="S232" s="63" t="s">
        <v>0</v>
      </c>
      <c r="T232" s="1">
        <v>199.6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59">
        <f t="shared" si="98"/>
        <v>199.6</v>
      </c>
      <c r="AB232" s="58">
        <v>2018</v>
      </c>
      <c r="AC232" s="9"/>
      <c r="AD232" s="101">
        <f>T233+T238+T244+T250+T256+T263+T278+T283+T288+T293+T298+T303+T319+T326+T333+T340+T347+T354+T361+T368+T375+T381+T387+T394+T409+T415+T421+T427+T433+T438+T444+T450+T456+T462+T468</f>
        <v>9745.0000000000018</v>
      </c>
      <c r="AE232" s="101"/>
    </row>
    <row r="233" spans="1:31" ht="15.6" hidden="1" customHeight="1" x14ac:dyDescent="0.3">
      <c r="A233" s="54" t="s">
        <v>18</v>
      </c>
      <c r="B233" s="54" t="s">
        <v>18</v>
      </c>
      <c r="C233" s="54" t="s">
        <v>22</v>
      </c>
      <c r="D233" s="54" t="s">
        <v>18</v>
      </c>
      <c r="E233" s="54" t="s">
        <v>21</v>
      </c>
      <c r="F233" s="54" t="s">
        <v>18</v>
      </c>
      <c r="G233" s="54" t="s">
        <v>22</v>
      </c>
      <c r="H233" s="54" t="s">
        <v>19</v>
      </c>
      <c r="I233" s="54" t="s">
        <v>24</v>
      </c>
      <c r="J233" s="54" t="s">
        <v>18</v>
      </c>
      <c r="K233" s="54" t="s">
        <v>18</v>
      </c>
      <c r="L233" s="54" t="s">
        <v>20</v>
      </c>
      <c r="M233" s="54" t="s">
        <v>37</v>
      </c>
      <c r="N233" s="54" t="s">
        <v>18</v>
      </c>
      <c r="O233" s="54" t="s">
        <v>24</v>
      </c>
      <c r="P233" s="54" t="s">
        <v>22</v>
      </c>
      <c r="Q233" s="54" t="s">
        <v>39</v>
      </c>
      <c r="R233" s="160"/>
      <c r="S233" s="63" t="s">
        <v>0</v>
      </c>
      <c r="T233" s="1">
        <v>399.2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59">
        <f t="shared" si="98"/>
        <v>399.2</v>
      </c>
      <c r="AB233" s="58">
        <v>2018</v>
      </c>
      <c r="AC233" s="9"/>
      <c r="AD233" s="101">
        <f>T276+T323+T330+T337+T344+T351+T358+T365+T372+T379+T385+T391</f>
        <v>380</v>
      </c>
      <c r="AE233" s="101"/>
    </row>
    <row r="234" spans="1:31" ht="31.2" hidden="1" customHeight="1" x14ac:dyDescent="0.3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80" t="s">
        <v>189</v>
      </c>
      <c r="S234" s="84" t="s">
        <v>175</v>
      </c>
      <c r="T234" s="3">
        <v>8750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6">
        <f t="shared" si="98"/>
        <v>8750</v>
      </c>
      <c r="AB234" s="41">
        <v>2018</v>
      </c>
      <c r="AC234" s="9"/>
      <c r="AD234" s="101">
        <f>SUM(AD230:AD233)</f>
        <v>24033.915000000001</v>
      </c>
      <c r="AE234" s="101"/>
    </row>
    <row r="235" spans="1:31" ht="15.6" hidden="1" customHeight="1" x14ac:dyDescent="0.3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160" t="s">
        <v>190</v>
      </c>
      <c r="S235" s="63" t="s">
        <v>0</v>
      </c>
      <c r="T235" s="1">
        <f>SUM(T236:T238)</f>
        <v>150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59">
        <f t="shared" si="98"/>
        <v>150</v>
      </c>
      <c r="AB235" s="58">
        <v>2018</v>
      </c>
      <c r="AC235" s="9"/>
      <c r="AD235" s="101"/>
      <c r="AE235" s="101"/>
    </row>
    <row r="236" spans="1:31" ht="15.6" hidden="1" customHeight="1" x14ac:dyDescent="0.3">
      <c r="A236" s="54" t="s">
        <v>18</v>
      </c>
      <c r="B236" s="54" t="s">
        <v>18</v>
      </c>
      <c r="C236" s="54" t="s">
        <v>22</v>
      </c>
      <c r="D236" s="54" t="s">
        <v>18</v>
      </c>
      <c r="E236" s="54" t="s">
        <v>21</v>
      </c>
      <c r="F236" s="54" t="s">
        <v>18</v>
      </c>
      <c r="G236" s="54" t="s">
        <v>22</v>
      </c>
      <c r="H236" s="54" t="s">
        <v>19</v>
      </c>
      <c r="I236" s="54" t="s">
        <v>24</v>
      </c>
      <c r="J236" s="54" t="s">
        <v>18</v>
      </c>
      <c r="K236" s="54" t="s">
        <v>18</v>
      </c>
      <c r="L236" s="54" t="s">
        <v>20</v>
      </c>
      <c r="M236" s="54" t="s">
        <v>19</v>
      </c>
      <c r="N236" s="54" t="s">
        <v>18</v>
      </c>
      <c r="O236" s="54" t="s">
        <v>24</v>
      </c>
      <c r="P236" s="54" t="s">
        <v>22</v>
      </c>
      <c r="Q236" s="54" t="s">
        <v>45</v>
      </c>
      <c r="R236" s="160"/>
      <c r="S236" s="63" t="s">
        <v>0</v>
      </c>
      <c r="T236" s="1">
        <v>60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59">
        <f t="shared" si="98"/>
        <v>60</v>
      </c>
      <c r="AB236" s="58">
        <v>2018</v>
      </c>
      <c r="AC236" s="9"/>
      <c r="AD236" s="101"/>
      <c r="AE236" s="101"/>
    </row>
    <row r="237" spans="1:31" ht="15.6" hidden="1" customHeight="1" x14ac:dyDescent="0.3">
      <c r="A237" s="54" t="s">
        <v>18</v>
      </c>
      <c r="B237" s="54" t="s">
        <v>18</v>
      </c>
      <c r="C237" s="54" t="s">
        <v>22</v>
      </c>
      <c r="D237" s="54" t="s">
        <v>18</v>
      </c>
      <c r="E237" s="54" t="s">
        <v>21</v>
      </c>
      <c r="F237" s="54" t="s">
        <v>18</v>
      </c>
      <c r="G237" s="54" t="s">
        <v>22</v>
      </c>
      <c r="H237" s="54" t="s">
        <v>19</v>
      </c>
      <c r="I237" s="54" t="s">
        <v>24</v>
      </c>
      <c r="J237" s="54" t="s">
        <v>18</v>
      </c>
      <c r="K237" s="54" t="s">
        <v>18</v>
      </c>
      <c r="L237" s="54" t="s">
        <v>20</v>
      </c>
      <c r="M237" s="54" t="s">
        <v>37</v>
      </c>
      <c r="N237" s="54" t="s">
        <v>18</v>
      </c>
      <c r="O237" s="54" t="s">
        <v>24</v>
      </c>
      <c r="P237" s="54" t="s">
        <v>22</v>
      </c>
      <c r="Q237" s="54" t="s">
        <v>46</v>
      </c>
      <c r="R237" s="160"/>
      <c r="S237" s="63" t="s">
        <v>0</v>
      </c>
      <c r="T237" s="1">
        <v>30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59">
        <f t="shared" si="98"/>
        <v>30</v>
      </c>
      <c r="AB237" s="58">
        <v>2018</v>
      </c>
      <c r="AC237" s="9"/>
      <c r="AD237" s="101"/>
      <c r="AE237" s="101"/>
    </row>
    <row r="238" spans="1:31" ht="15.6" hidden="1" customHeight="1" x14ac:dyDescent="0.3">
      <c r="A238" s="54" t="s">
        <v>18</v>
      </c>
      <c r="B238" s="54" t="s">
        <v>18</v>
      </c>
      <c r="C238" s="54" t="s">
        <v>22</v>
      </c>
      <c r="D238" s="54" t="s">
        <v>18</v>
      </c>
      <c r="E238" s="54" t="s">
        <v>21</v>
      </c>
      <c r="F238" s="54" t="s">
        <v>18</v>
      </c>
      <c r="G238" s="54" t="s">
        <v>22</v>
      </c>
      <c r="H238" s="54" t="s">
        <v>19</v>
      </c>
      <c r="I238" s="54" t="s">
        <v>24</v>
      </c>
      <c r="J238" s="54" t="s">
        <v>18</v>
      </c>
      <c r="K238" s="54" t="s">
        <v>18</v>
      </c>
      <c r="L238" s="54" t="s">
        <v>20</v>
      </c>
      <c r="M238" s="54" t="s">
        <v>37</v>
      </c>
      <c r="N238" s="54" t="s">
        <v>18</v>
      </c>
      <c r="O238" s="54" t="s">
        <v>24</v>
      </c>
      <c r="P238" s="54" t="s">
        <v>22</v>
      </c>
      <c r="Q238" s="54" t="s">
        <v>39</v>
      </c>
      <c r="R238" s="160"/>
      <c r="S238" s="63" t="s">
        <v>0</v>
      </c>
      <c r="T238" s="1">
        <v>60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59">
        <f t="shared" si="98"/>
        <v>60</v>
      </c>
      <c r="AB238" s="58">
        <v>2018</v>
      </c>
      <c r="AC238" s="9"/>
      <c r="AD238" s="101"/>
      <c r="AE238" s="101"/>
    </row>
    <row r="239" spans="1:31" ht="46.95" hidden="1" customHeight="1" x14ac:dyDescent="0.3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80" t="s">
        <v>191</v>
      </c>
      <c r="S239" s="84" t="s">
        <v>50</v>
      </c>
      <c r="T239" s="44">
        <v>7</v>
      </c>
      <c r="U239" s="44">
        <v>0</v>
      </c>
      <c r="V239" s="44">
        <v>0</v>
      </c>
      <c r="W239" s="44">
        <v>0</v>
      </c>
      <c r="X239" s="44">
        <v>0</v>
      </c>
      <c r="Y239" s="44">
        <v>0</v>
      </c>
      <c r="Z239" s="44">
        <v>0</v>
      </c>
      <c r="AA239" s="49">
        <f t="shared" si="98"/>
        <v>7</v>
      </c>
      <c r="AB239" s="41">
        <v>2018</v>
      </c>
      <c r="AC239" s="9"/>
      <c r="AD239" s="101"/>
      <c r="AE239" s="101"/>
    </row>
    <row r="240" spans="1:31" ht="15.6" hidden="1" customHeight="1" x14ac:dyDescent="0.3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160" t="s">
        <v>192</v>
      </c>
      <c r="S240" s="63" t="s">
        <v>0</v>
      </c>
      <c r="T240" s="1">
        <f>SUM(T241:T244)</f>
        <v>1031.5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59">
        <f t="shared" si="98"/>
        <v>1031.5</v>
      </c>
      <c r="AB240" s="58">
        <v>2018</v>
      </c>
      <c r="AC240" s="9"/>
      <c r="AD240" s="101"/>
      <c r="AE240" s="101"/>
    </row>
    <row r="241" spans="1:31" ht="15.6" hidden="1" customHeight="1" x14ac:dyDescent="0.3">
      <c r="A241" s="54" t="s">
        <v>18</v>
      </c>
      <c r="B241" s="54" t="s">
        <v>18</v>
      </c>
      <c r="C241" s="54" t="s">
        <v>22</v>
      </c>
      <c r="D241" s="54" t="s">
        <v>18</v>
      </c>
      <c r="E241" s="54" t="s">
        <v>21</v>
      </c>
      <c r="F241" s="54" t="s">
        <v>18</v>
      </c>
      <c r="G241" s="54" t="s">
        <v>22</v>
      </c>
      <c r="H241" s="54" t="s">
        <v>19</v>
      </c>
      <c r="I241" s="54" t="s">
        <v>24</v>
      </c>
      <c r="J241" s="54" t="s">
        <v>18</v>
      </c>
      <c r="K241" s="54" t="s">
        <v>18</v>
      </c>
      <c r="L241" s="54" t="s">
        <v>20</v>
      </c>
      <c r="M241" s="54" t="s">
        <v>19</v>
      </c>
      <c r="N241" s="54" t="s">
        <v>18</v>
      </c>
      <c r="O241" s="54" t="s">
        <v>24</v>
      </c>
      <c r="P241" s="54" t="s">
        <v>22</v>
      </c>
      <c r="Q241" s="54" t="s">
        <v>45</v>
      </c>
      <c r="R241" s="160"/>
      <c r="S241" s="63" t="s">
        <v>0</v>
      </c>
      <c r="T241" s="1">
        <v>400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59">
        <f t="shared" si="98"/>
        <v>400</v>
      </c>
      <c r="AB241" s="58">
        <v>2018</v>
      </c>
      <c r="AC241" s="9"/>
      <c r="AD241" s="101"/>
      <c r="AE241" s="101"/>
    </row>
    <row r="242" spans="1:31" ht="15.6" hidden="1" customHeight="1" x14ac:dyDescent="0.3">
      <c r="A242" s="54" t="s">
        <v>18</v>
      </c>
      <c r="B242" s="54" t="s">
        <v>18</v>
      </c>
      <c r="C242" s="54" t="s">
        <v>22</v>
      </c>
      <c r="D242" s="54" t="s">
        <v>18</v>
      </c>
      <c r="E242" s="54" t="s">
        <v>21</v>
      </c>
      <c r="F242" s="54" t="s">
        <v>18</v>
      </c>
      <c r="G242" s="54" t="s">
        <v>22</v>
      </c>
      <c r="H242" s="54" t="s">
        <v>19</v>
      </c>
      <c r="I242" s="54" t="s">
        <v>24</v>
      </c>
      <c r="J242" s="54" t="s">
        <v>18</v>
      </c>
      <c r="K242" s="54" t="s">
        <v>18</v>
      </c>
      <c r="L242" s="54" t="s">
        <v>20</v>
      </c>
      <c r="M242" s="54" t="s">
        <v>37</v>
      </c>
      <c r="N242" s="54" t="s">
        <v>18</v>
      </c>
      <c r="O242" s="54" t="s">
        <v>24</v>
      </c>
      <c r="P242" s="54" t="s">
        <v>22</v>
      </c>
      <c r="Q242" s="54" t="s">
        <v>46</v>
      </c>
      <c r="R242" s="160"/>
      <c r="S242" s="63" t="s">
        <v>0</v>
      </c>
      <c r="T242" s="1">
        <v>2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59">
        <f t="shared" si="98"/>
        <v>2</v>
      </c>
      <c r="AB242" s="58">
        <v>2018</v>
      </c>
      <c r="AC242" s="9"/>
      <c r="AD242" s="101"/>
      <c r="AE242" s="101"/>
    </row>
    <row r="243" spans="1:31" ht="15.6" hidden="1" customHeight="1" x14ac:dyDescent="0.3">
      <c r="A243" s="54" t="s">
        <v>18</v>
      </c>
      <c r="B243" s="54" t="s">
        <v>18</v>
      </c>
      <c r="C243" s="54" t="s">
        <v>22</v>
      </c>
      <c r="D243" s="54" t="s">
        <v>18</v>
      </c>
      <c r="E243" s="54" t="s">
        <v>21</v>
      </c>
      <c r="F243" s="54" t="s">
        <v>18</v>
      </c>
      <c r="G243" s="54" t="s">
        <v>22</v>
      </c>
      <c r="H243" s="54" t="s">
        <v>19</v>
      </c>
      <c r="I243" s="54" t="s">
        <v>24</v>
      </c>
      <c r="J243" s="54" t="s">
        <v>18</v>
      </c>
      <c r="K243" s="54" t="s">
        <v>18</v>
      </c>
      <c r="L243" s="54" t="s">
        <v>20</v>
      </c>
      <c r="M243" s="54" t="s">
        <v>37</v>
      </c>
      <c r="N243" s="54" t="s">
        <v>18</v>
      </c>
      <c r="O243" s="54" t="s">
        <v>24</v>
      </c>
      <c r="P243" s="54" t="s">
        <v>22</v>
      </c>
      <c r="Q243" s="54" t="s">
        <v>46</v>
      </c>
      <c r="R243" s="160"/>
      <c r="S243" s="63" t="s">
        <v>0</v>
      </c>
      <c r="T243" s="1">
        <v>229.5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59">
        <f t="shared" si="98"/>
        <v>229.5</v>
      </c>
      <c r="AB243" s="58">
        <v>2018</v>
      </c>
      <c r="AC243" s="9"/>
      <c r="AD243" s="101"/>
      <c r="AE243" s="101"/>
    </row>
    <row r="244" spans="1:31" ht="15.6" hidden="1" customHeight="1" x14ac:dyDescent="0.3">
      <c r="A244" s="54" t="s">
        <v>18</v>
      </c>
      <c r="B244" s="54" t="s">
        <v>18</v>
      </c>
      <c r="C244" s="54" t="s">
        <v>22</v>
      </c>
      <c r="D244" s="54" t="s">
        <v>18</v>
      </c>
      <c r="E244" s="54" t="s">
        <v>21</v>
      </c>
      <c r="F244" s="54" t="s">
        <v>18</v>
      </c>
      <c r="G244" s="54" t="s">
        <v>22</v>
      </c>
      <c r="H244" s="54" t="s">
        <v>19</v>
      </c>
      <c r="I244" s="54" t="s">
        <v>24</v>
      </c>
      <c r="J244" s="54" t="s">
        <v>18</v>
      </c>
      <c r="K244" s="54" t="s">
        <v>18</v>
      </c>
      <c r="L244" s="54" t="s">
        <v>20</v>
      </c>
      <c r="M244" s="54" t="s">
        <v>37</v>
      </c>
      <c r="N244" s="54" t="s">
        <v>18</v>
      </c>
      <c r="O244" s="54" t="s">
        <v>24</v>
      </c>
      <c r="P244" s="54" t="s">
        <v>22</v>
      </c>
      <c r="Q244" s="54" t="s">
        <v>39</v>
      </c>
      <c r="R244" s="160"/>
      <c r="S244" s="63" t="s">
        <v>0</v>
      </c>
      <c r="T244" s="1">
        <v>400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59">
        <f t="shared" si="98"/>
        <v>400</v>
      </c>
      <c r="AB244" s="58">
        <v>2018</v>
      </c>
      <c r="AC244" s="9"/>
      <c r="AD244" s="101"/>
      <c r="AE244" s="101"/>
    </row>
    <row r="245" spans="1:31" ht="45.6" hidden="1" customHeight="1" x14ac:dyDescent="0.3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80" t="s">
        <v>193</v>
      </c>
      <c r="S245" s="84" t="s">
        <v>50</v>
      </c>
      <c r="T245" s="44">
        <v>44</v>
      </c>
      <c r="U245" s="44">
        <v>0</v>
      </c>
      <c r="V245" s="44">
        <v>0</v>
      </c>
      <c r="W245" s="44">
        <v>0</v>
      </c>
      <c r="X245" s="44">
        <v>0</v>
      </c>
      <c r="Y245" s="44">
        <v>0</v>
      </c>
      <c r="Z245" s="44">
        <v>0</v>
      </c>
      <c r="AA245" s="49">
        <f t="shared" si="98"/>
        <v>44</v>
      </c>
      <c r="AB245" s="41">
        <v>2018</v>
      </c>
      <c r="AC245" s="9"/>
      <c r="AD245" s="101"/>
      <c r="AE245" s="101"/>
    </row>
    <row r="246" spans="1:31" ht="15.6" hidden="1" customHeight="1" x14ac:dyDescent="0.3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160" t="s">
        <v>194</v>
      </c>
      <c r="S246" s="63" t="s">
        <v>0</v>
      </c>
      <c r="T246" s="1">
        <f>SUM(T247:T250)</f>
        <v>613.5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59">
        <f t="shared" si="98"/>
        <v>613.5</v>
      </c>
      <c r="AB246" s="58">
        <v>2018</v>
      </c>
      <c r="AC246" s="9"/>
      <c r="AD246" s="101"/>
      <c r="AE246" s="101"/>
    </row>
    <row r="247" spans="1:31" ht="15.6" hidden="1" customHeight="1" x14ac:dyDescent="0.3">
      <c r="A247" s="54" t="s">
        <v>18</v>
      </c>
      <c r="B247" s="54" t="s">
        <v>18</v>
      </c>
      <c r="C247" s="54" t="s">
        <v>22</v>
      </c>
      <c r="D247" s="54" t="s">
        <v>18</v>
      </c>
      <c r="E247" s="54" t="s">
        <v>21</v>
      </c>
      <c r="F247" s="54" t="s">
        <v>18</v>
      </c>
      <c r="G247" s="54" t="s">
        <v>22</v>
      </c>
      <c r="H247" s="54" t="s">
        <v>19</v>
      </c>
      <c r="I247" s="54" t="s">
        <v>24</v>
      </c>
      <c r="J247" s="54" t="s">
        <v>18</v>
      </c>
      <c r="K247" s="54" t="s">
        <v>18</v>
      </c>
      <c r="L247" s="54" t="s">
        <v>20</v>
      </c>
      <c r="M247" s="54" t="s">
        <v>19</v>
      </c>
      <c r="N247" s="54" t="s">
        <v>18</v>
      </c>
      <c r="O247" s="54" t="s">
        <v>24</v>
      </c>
      <c r="P247" s="54" t="s">
        <v>22</v>
      </c>
      <c r="Q247" s="54" t="s">
        <v>45</v>
      </c>
      <c r="R247" s="160"/>
      <c r="S247" s="63" t="s">
        <v>0</v>
      </c>
      <c r="T247" s="1">
        <v>245.4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59">
        <f t="shared" si="98"/>
        <v>245.4</v>
      </c>
      <c r="AB247" s="58">
        <v>2018</v>
      </c>
      <c r="AC247" s="9"/>
      <c r="AD247" s="101"/>
      <c r="AE247" s="101"/>
    </row>
    <row r="248" spans="1:31" ht="15.6" hidden="1" customHeight="1" x14ac:dyDescent="0.3">
      <c r="A248" s="54" t="s">
        <v>18</v>
      </c>
      <c r="B248" s="54" t="s">
        <v>18</v>
      </c>
      <c r="C248" s="54" t="s">
        <v>22</v>
      </c>
      <c r="D248" s="54" t="s">
        <v>18</v>
      </c>
      <c r="E248" s="54" t="s">
        <v>21</v>
      </c>
      <c r="F248" s="54" t="s">
        <v>18</v>
      </c>
      <c r="G248" s="54" t="s">
        <v>22</v>
      </c>
      <c r="H248" s="54" t="s">
        <v>19</v>
      </c>
      <c r="I248" s="54" t="s">
        <v>24</v>
      </c>
      <c r="J248" s="54" t="s">
        <v>18</v>
      </c>
      <c r="K248" s="54" t="s">
        <v>18</v>
      </c>
      <c r="L248" s="54" t="s">
        <v>20</v>
      </c>
      <c r="M248" s="54" t="s">
        <v>37</v>
      </c>
      <c r="N248" s="54" t="s">
        <v>18</v>
      </c>
      <c r="O248" s="54" t="s">
        <v>24</v>
      </c>
      <c r="P248" s="54" t="s">
        <v>22</v>
      </c>
      <c r="Q248" s="54" t="s">
        <v>46</v>
      </c>
      <c r="R248" s="160"/>
      <c r="S248" s="63" t="s">
        <v>0</v>
      </c>
      <c r="T248" s="1">
        <v>60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59">
        <f t="shared" si="98"/>
        <v>60</v>
      </c>
      <c r="AB248" s="58">
        <v>2018</v>
      </c>
      <c r="AC248" s="9"/>
      <c r="AD248" s="101"/>
      <c r="AE248" s="101"/>
    </row>
    <row r="249" spans="1:31" ht="15.6" hidden="1" customHeight="1" x14ac:dyDescent="0.3">
      <c r="A249" s="54" t="s">
        <v>18</v>
      </c>
      <c r="B249" s="54" t="s">
        <v>18</v>
      </c>
      <c r="C249" s="54" t="s">
        <v>22</v>
      </c>
      <c r="D249" s="54" t="s">
        <v>18</v>
      </c>
      <c r="E249" s="54" t="s">
        <v>21</v>
      </c>
      <c r="F249" s="54" t="s">
        <v>18</v>
      </c>
      <c r="G249" s="54" t="s">
        <v>22</v>
      </c>
      <c r="H249" s="54" t="s">
        <v>19</v>
      </c>
      <c r="I249" s="54" t="s">
        <v>24</v>
      </c>
      <c r="J249" s="54" t="s">
        <v>18</v>
      </c>
      <c r="K249" s="54" t="s">
        <v>18</v>
      </c>
      <c r="L249" s="54" t="s">
        <v>20</v>
      </c>
      <c r="M249" s="54" t="s">
        <v>37</v>
      </c>
      <c r="N249" s="54" t="s">
        <v>18</v>
      </c>
      <c r="O249" s="54" t="s">
        <v>24</v>
      </c>
      <c r="P249" s="54" t="s">
        <v>22</v>
      </c>
      <c r="Q249" s="54" t="s">
        <v>46</v>
      </c>
      <c r="R249" s="160"/>
      <c r="S249" s="63" t="s">
        <v>0</v>
      </c>
      <c r="T249" s="1">
        <v>62.7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59">
        <f t="shared" si="98"/>
        <v>62.7</v>
      </c>
      <c r="AB249" s="58">
        <v>2018</v>
      </c>
      <c r="AC249" s="9"/>
      <c r="AD249" s="101"/>
      <c r="AE249" s="101"/>
    </row>
    <row r="250" spans="1:31" ht="15.6" hidden="1" customHeight="1" x14ac:dyDescent="0.3">
      <c r="A250" s="54" t="s">
        <v>18</v>
      </c>
      <c r="B250" s="54" t="s">
        <v>18</v>
      </c>
      <c r="C250" s="54" t="s">
        <v>22</v>
      </c>
      <c r="D250" s="54" t="s">
        <v>18</v>
      </c>
      <c r="E250" s="54" t="s">
        <v>21</v>
      </c>
      <c r="F250" s="54" t="s">
        <v>18</v>
      </c>
      <c r="G250" s="54" t="s">
        <v>22</v>
      </c>
      <c r="H250" s="54" t="s">
        <v>19</v>
      </c>
      <c r="I250" s="54" t="s">
        <v>24</v>
      </c>
      <c r="J250" s="54" t="s">
        <v>18</v>
      </c>
      <c r="K250" s="54" t="s">
        <v>18</v>
      </c>
      <c r="L250" s="54" t="s">
        <v>20</v>
      </c>
      <c r="M250" s="54" t="s">
        <v>37</v>
      </c>
      <c r="N250" s="54" t="s">
        <v>18</v>
      </c>
      <c r="O250" s="54" t="s">
        <v>24</v>
      </c>
      <c r="P250" s="54" t="s">
        <v>22</v>
      </c>
      <c r="Q250" s="54" t="s">
        <v>39</v>
      </c>
      <c r="R250" s="160"/>
      <c r="S250" s="63" t="s">
        <v>0</v>
      </c>
      <c r="T250" s="1">
        <v>245.4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59">
        <f t="shared" si="98"/>
        <v>245.4</v>
      </c>
      <c r="AB250" s="58">
        <v>2018</v>
      </c>
      <c r="AC250" s="9"/>
      <c r="AD250" s="101"/>
      <c r="AE250" s="101"/>
    </row>
    <row r="251" spans="1:31" ht="46.95" hidden="1" customHeight="1" x14ac:dyDescent="0.3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80" t="s">
        <v>195</v>
      </c>
      <c r="S251" s="84" t="s">
        <v>50</v>
      </c>
      <c r="T251" s="44">
        <v>26</v>
      </c>
      <c r="U251" s="44">
        <v>0</v>
      </c>
      <c r="V251" s="44">
        <v>0</v>
      </c>
      <c r="W251" s="44">
        <v>0</v>
      </c>
      <c r="X251" s="44">
        <v>0</v>
      </c>
      <c r="Y251" s="44">
        <v>0</v>
      </c>
      <c r="Z251" s="44">
        <v>0</v>
      </c>
      <c r="AA251" s="49">
        <f t="shared" si="98"/>
        <v>26</v>
      </c>
      <c r="AB251" s="41">
        <v>2018</v>
      </c>
      <c r="AC251" s="9"/>
      <c r="AD251" s="101"/>
      <c r="AE251" s="101"/>
    </row>
    <row r="252" spans="1:31" ht="15.6" hidden="1" customHeight="1" x14ac:dyDescent="0.3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160" t="s">
        <v>196</v>
      </c>
      <c r="S252" s="63" t="s">
        <v>0</v>
      </c>
      <c r="T252" s="1">
        <f>SUM(T253:T256)</f>
        <v>194.7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59">
        <f t="shared" si="98"/>
        <v>194.7</v>
      </c>
      <c r="AB252" s="58">
        <v>2018</v>
      </c>
      <c r="AC252" s="9"/>
      <c r="AD252" s="101"/>
      <c r="AE252" s="101"/>
    </row>
    <row r="253" spans="1:31" ht="15.6" hidden="1" customHeight="1" x14ac:dyDescent="0.3">
      <c r="A253" s="54" t="s">
        <v>18</v>
      </c>
      <c r="B253" s="54" t="s">
        <v>18</v>
      </c>
      <c r="C253" s="54" t="s">
        <v>22</v>
      </c>
      <c r="D253" s="54" t="s">
        <v>18</v>
      </c>
      <c r="E253" s="54" t="s">
        <v>21</v>
      </c>
      <c r="F253" s="54" t="s">
        <v>18</v>
      </c>
      <c r="G253" s="54" t="s">
        <v>22</v>
      </c>
      <c r="H253" s="54" t="s">
        <v>19</v>
      </c>
      <c r="I253" s="54" t="s">
        <v>24</v>
      </c>
      <c r="J253" s="54" t="s">
        <v>18</v>
      </c>
      <c r="K253" s="54" t="s">
        <v>18</v>
      </c>
      <c r="L253" s="54" t="s">
        <v>20</v>
      </c>
      <c r="M253" s="54" t="s">
        <v>19</v>
      </c>
      <c r="N253" s="54" t="s">
        <v>18</v>
      </c>
      <c r="O253" s="54" t="s">
        <v>24</v>
      </c>
      <c r="P253" s="54" t="s">
        <v>22</v>
      </c>
      <c r="Q253" s="54" t="s">
        <v>45</v>
      </c>
      <c r="R253" s="160"/>
      <c r="S253" s="63" t="s">
        <v>0</v>
      </c>
      <c r="T253" s="1">
        <v>77.3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59">
        <f t="shared" si="98"/>
        <v>77.3</v>
      </c>
      <c r="AB253" s="58">
        <v>2018</v>
      </c>
      <c r="AC253" s="9"/>
      <c r="AD253" s="101"/>
      <c r="AE253" s="101"/>
    </row>
    <row r="254" spans="1:31" ht="15.6" hidden="1" customHeight="1" x14ac:dyDescent="0.3">
      <c r="A254" s="54" t="s">
        <v>18</v>
      </c>
      <c r="B254" s="54" t="s">
        <v>18</v>
      </c>
      <c r="C254" s="54" t="s">
        <v>22</v>
      </c>
      <c r="D254" s="54" t="s">
        <v>18</v>
      </c>
      <c r="E254" s="54" t="s">
        <v>21</v>
      </c>
      <c r="F254" s="54" t="s">
        <v>18</v>
      </c>
      <c r="G254" s="54" t="s">
        <v>22</v>
      </c>
      <c r="H254" s="54" t="s">
        <v>19</v>
      </c>
      <c r="I254" s="54" t="s">
        <v>24</v>
      </c>
      <c r="J254" s="54" t="s">
        <v>18</v>
      </c>
      <c r="K254" s="54" t="s">
        <v>18</v>
      </c>
      <c r="L254" s="54" t="s">
        <v>20</v>
      </c>
      <c r="M254" s="54" t="s">
        <v>37</v>
      </c>
      <c r="N254" s="54" t="s">
        <v>18</v>
      </c>
      <c r="O254" s="54" t="s">
        <v>24</v>
      </c>
      <c r="P254" s="54" t="s">
        <v>22</v>
      </c>
      <c r="Q254" s="54" t="s">
        <v>46</v>
      </c>
      <c r="R254" s="160"/>
      <c r="S254" s="63" t="s">
        <v>0</v>
      </c>
      <c r="T254" s="1">
        <v>20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59">
        <f t="shared" si="98"/>
        <v>20</v>
      </c>
      <c r="AB254" s="58">
        <v>2018</v>
      </c>
      <c r="AC254" s="9"/>
      <c r="AD254" s="101"/>
      <c r="AE254" s="101"/>
    </row>
    <row r="255" spans="1:31" ht="15.6" hidden="1" customHeight="1" x14ac:dyDescent="0.3">
      <c r="A255" s="54" t="s">
        <v>18</v>
      </c>
      <c r="B255" s="54" t="s">
        <v>18</v>
      </c>
      <c r="C255" s="54" t="s">
        <v>22</v>
      </c>
      <c r="D255" s="54" t="s">
        <v>18</v>
      </c>
      <c r="E255" s="54" t="s">
        <v>21</v>
      </c>
      <c r="F255" s="54" t="s">
        <v>18</v>
      </c>
      <c r="G255" s="54" t="s">
        <v>22</v>
      </c>
      <c r="H255" s="54" t="s">
        <v>19</v>
      </c>
      <c r="I255" s="54" t="s">
        <v>24</v>
      </c>
      <c r="J255" s="54" t="s">
        <v>18</v>
      </c>
      <c r="K255" s="54" t="s">
        <v>18</v>
      </c>
      <c r="L255" s="54" t="s">
        <v>20</v>
      </c>
      <c r="M255" s="54" t="s">
        <v>37</v>
      </c>
      <c r="N255" s="54" t="s">
        <v>18</v>
      </c>
      <c r="O255" s="54" t="s">
        <v>24</v>
      </c>
      <c r="P255" s="54" t="s">
        <v>22</v>
      </c>
      <c r="Q255" s="54" t="s">
        <v>46</v>
      </c>
      <c r="R255" s="160"/>
      <c r="S255" s="63" t="s">
        <v>0</v>
      </c>
      <c r="T255" s="1">
        <v>19.5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59">
        <f t="shared" si="98"/>
        <v>19.5</v>
      </c>
      <c r="AB255" s="58">
        <v>2018</v>
      </c>
      <c r="AC255" s="9"/>
      <c r="AD255" s="101"/>
      <c r="AE255" s="101"/>
    </row>
    <row r="256" spans="1:31" ht="15.6" hidden="1" customHeight="1" x14ac:dyDescent="0.3">
      <c r="A256" s="54" t="s">
        <v>18</v>
      </c>
      <c r="B256" s="54" t="s">
        <v>18</v>
      </c>
      <c r="C256" s="54" t="s">
        <v>22</v>
      </c>
      <c r="D256" s="54" t="s">
        <v>18</v>
      </c>
      <c r="E256" s="54" t="s">
        <v>21</v>
      </c>
      <c r="F256" s="54" t="s">
        <v>18</v>
      </c>
      <c r="G256" s="54" t="s">
        <v>22</v>
      </c>
      <c r="H256" s="54" t="s">
        <v>19</v>
      </c>
      <c r="I256" s="54" t="s">
        <v>24</v>
      </c>
      <c r="J256" s="54" t="s">
        <v>18</v>
      </c>
      <c r="K256" s="54" t="s">
        <v>18</v>
      </c>
      <c r="L256" s="54" t="s">
        <v>20</v>
      </c>
      <c r="M256" s="54" t="s">
        <v>37</v>
      </c>
      <c r="N256" s="54" t="s">
        <v>18</v>
      </c>
      <c r="O256" s="54" t="s">
        <v>24</v>
      </c>
      <c r="P256" s="54" t="s">
        <v>22</v>
      </c>
      <c r="Q256" s="54" t="s">
        <v>39</v>
      </c>
      <c r="R256" s="160"/>
      <c r="S256" s="63" t="s">
        <v>0</v>
      </c>
      <c r="T256" s="1">
        <v>77.900000000000006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59">
        <f t="shared" si="98"/>
        <v>77.900000000000006</v>
      </c>
      <c r="AB256" s="58">
        <v>2018</v>
      </c>
      <c r="AC256" s="9"/>
      <c r="AD256" s="101"/>
      <c r="AE256" s="101"/>
    </row>
    <row r="257" spans="1:31" s="72" customFormat="1" ht="31.2" hidden="1" customHeight="1" x14ac:dyDescent="0.3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80" t="s">
        <v>197</v>
      </c>
      <c r="S257" s="52" t="s">
        <v>50</v>
      </c>
      <c r="T257" s="44">
        <v>1</v>
      </c>
      <c r="U257" s="44">
        <v>0</v>
      </c>
      <c r="V257" s="44">
        <v>0</v>
      </c>
      <c r="W257" s="44">
        <v>0</v>
      </c>
      <c r="X257" s="44">
        <v>0</v>
      </c>
      <c r="Y257" s="44">
        <v>0</v>
      </c>
      <c r="Z257" s="44">
        <v>0</v>
      </c>
      <c r="AA257" s="49">
        <f t="shared" si="98"/>
        <v>1</v>
      </c>
      <c r="AB257" s="41">
        <v>2018</v>
      </c>
      <c r="AC257" s="70"/>
      <c r="AD257" s="85"/>
      <c r="AE257" s="85"/>
    </row>
    <row r="258" spans="1:31" ht="31.2" hidden="1" customHeight="1" x14ac:dyDescent="0.3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80" t="s">
        <v>198</v>
      </c>
      <c r="S258" s="84" t="s">
        <v>176</v>
      </c>
      <c r="T258" s="3">
        <v>15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6">
        <f t="shared" si="98"/>
        <v>15</v>
      </c>
      <c r="AB258" s="41">
        <v>2018</v>
      </c>
      <c r="AC258" s="9"/>
      <c r="AD258" s="101"/>
      <c r="AE258" s="101"/>
    </row>
    <row r="259" spans="1:31" ht="15.6" hidden="1" customHeight="1" x14ac:dyDescent="0.3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160" t="s">
        <v>199</v>
      </c>
      <c r="S259" s="63" t="s">
        <v>0</v>
      </c>
      <c r="T259" s="1">
        <f>SUM(T260:T263)</f>
        <v>119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59">
        <f t="shared" si="98"/>
        <v>119</v>
      </c>
      <c r="AB259" s="58">
        <v>2018</v>
      </c>
      <c r="AC259" s="9"/>
      <c r="AD259" s="101"/>
      <c r="AE259" s="101"/>
    </row>
    <row r="260" spans="1:31" ht="15.6" hidden="1" customHeight="1" x14ac:dyDescent="0.3">
      <c r="A260" s="54" t="s">
        <v>18</v>
      </c>
      <c r="B260" s="54" t="s">
        <v>18</v>
      </c>
      <c r="C260" s="54" t="s">
        <v>22</v>
      </c>
      <c r="D260" s="54" t="s">
        <v>18</v>
      </c>
      <c r="E260" s="54" t="s">
        <v>24</v>
      </c>
      <c r="F260" s="54" t="s">
        <v>18</v>
      </c>
      <c r="G260" s="54" t="s">
        <v>43</v>
      </c>
      <c r="H260" s="54" t="s">
        <v>19</v>
      </c>
      <c r="I260" s="54" t="s">
        <v>24</v>
      </c>
      <c r="J260" s="54" t="s">
        <v>18</v>
      </c>
      <c r="K260" s="54" t="s">
        <v>18</v>
      </c>
      <c r="L260" s="54" t="s">
        <v>20</v>
      </c>
      <c r="M260" s="54" t="s">
        <v>19</v>
      </c>
      <c r="N260" s="54" t="s">
        <v>18</v>
      </c>
      <c r="O260" s="54" t="s">
        <v>24</v>
      </c>
      <c r="P260" s="54" t="s">
        <v>22</v>
      </c>
      <c r="Q260" s="54" t="s">
        <v>45</v>
      </c>
      <c r="R260" s="160"/>
      <c r="S260" s="63" t="s">
        <v>0</v>
      </c>
      <c r="T260" s="1">
        <v>47.6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59">
        <f t="shared" si="98"/>
        <v>47.6</v>
      </c>
      <c r="AB260" s="58">
        <v>2018</v>
      </c>
      <c r="AC260" s="9"/>
      <c r="AD260" s="101"/>
      <c r="AE260" s="101"/>
    </row>
    <row r="261" spans="1:31" ht="15.6" hidden="1" customHeight="1" x14ac:dyDescent="0.3">
      <c r="A261" s="54" t="s">
        <v>18</v>
      </c>
      <c r="B261" s="54" t="s">
        <v>18</v>
      </c>
      <c r="C261" s="54" t="s">
        <v>22</v>
      </c>
      <c r="D261" s="54" t="s">
        <v>18</v>
      </c>
      <c r="E261" s="54" t="s">
        <v>24</v>
      </c>
      <c r="F261" s="54" t="s">
        <v>18</v>
      </c>
      <c r="G261" s="54" t="s">
        <v>43</v>
      </c>
      <c r="H261" s="54" t="s">
        <v>19</v>
      </c>
      <c r="I261" s="54" t="s">
        <v>24</v>
      </c>
      <c r="J261" s="54" t="s">
        <v>18</v>
      </c>
      <c r="K261" s="54" t="s">
        <v>18</v>
      </c>
      <c r="L261" s="54" t="s">
        <v>20</v>
      </c>
      <c r="M261" s="54" t="s">
        <v>37</v>
      </c>
      <c r="N261" s="54" t="s">
        <v>18</v>
      </c>
      <c r="O261" s="54" t="s">
        <v>24</v>
      </c>
      <c r="P261" s="54" t="s">
        <v>22</v>
      </c>
      <c r="Q261" s="54" t="s">
        <v>46</v>
      </c>
      <c r="R261" s="160"/>
      <c r="S261" s="63" t="s">
        <v>0</v>
      </c>
      <c r="T261" s="1">
        <v>11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59">
        <f t="shared" si="98"/>
        <v>11</v>
      </c>
      <c r="AB261" s="58">
        <v>2018</v>
      </c>
      <c r="AC261" s="9"/>
      <c r="AD261" s="101"/>
      <c r="AE261" s="101"/>
    </row>
    <row r="262" spans="1:31" ht="15.6" hidden="1" customHeight="1" x14ac:dyDescent="0.3">
      <c r="A262" s="54" t="s">
        <v>18</v>
      </c>
      <c r="B262" s="54" t="s">
        <v>18</v>
      </c>
      <c r="C262" s="54" t="s">
        <v>22</v>
      </c>
      <c r="D262" s="54" t="s">
        <v>18</v>
      </c>
      <c r="E262" s="54" t="s">
        <v>24</v>
      </c>
      <c r="F262" s="54" t="s">
        <v>18</v>
      </c>
      <c r="G262" s="54" t="s">
        <v>43</v>
      </c>
      <c r="H262" s="54" t="s">
        <v>19</v>
      </c>
      <c r="I262" s="54" t="s">
        <v>24</v>
      </c>
      <c r="J262" s="54" t="s">
        <v>18</v>
      </c>
      <c r="K262" s="54" t="s">
        <v>18</v>
      </c>
      <c r="L262" s="54" t="s">
        <v>20</v>
      </c>
      <c r="M262" s="54" t="s">
        <v>37</v>
      </c>
      <c r="N262" s="54" t="s">
        <v>18</v>
      </c>
      <c r="O262" s="54" t="s">
        <v>24</v>
      </c>
      <c r="P262" s="54" t="s">
        <v>22</v>
      </c>
      <c r="Q262" s="54" t="s">
        <v>46</v>
      </c>
      <c r="R262" s="160"/>
      <c r="S262" s="63" t="s">
        <v>0</v>
      </c>
      <c r="T262" s="1">
        <v>12.8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59">
        <f t="shared" si="98"/>
        <v>12.8</v>
      </c>
      <c r="AB262" s="58">
        <v>2018</v>
      </c>
      <c r="AC262" s="9"/>
      <c r="AD262" s="101"/>
      <c r="AE262" s="101"/>
    </row>
    <row r="263" spans="1:31" ht="15.6" hidden="1" customHeight="1" x14ac:dyDescent="0.3">
      <c r="A263" s="54" t="s">
        <v>18</v>
      </c>
      <c r="B263" s="54" t="s">
        <v>18</v>
      </c>
      <c r="C263" s="54" t="s">
        <v>22</v>
      </c>
      <c r="D263" s="54" t="s">
        <v>18</v>
      </c>
      <c r="E263" s="54" t="s">
        <v>24</v>
      </c>
      <c r="F263" s="54" t="s">
        <v>18</v>
      </c>
      <c r="G263" s="54" t="s">
        <v>43</v>
      </c>
      <c r="H263" s="54" t="s">
        <v>19</v>
      </c>
      <c r="I263" s="54" t="s">
        <v>24</v>
      </c>
      <c r="J263" s="54" t="s">
        <v>18</v>
      </c>
      <c r="K263" s="54" t="s">
        <v>18</v>
      </c>
      <c r="L263" s="54" t="s">
        <v>20</v>
      </c>
      <c r="M263" s="54" t="s">
        <v>37</v>
      </c>
      <c r="N263" s="54" t="s">
        <v>18</v>
      </c>
      <c r="O263" s="54" t="s">
        <v>24</v>
      </c>
      <c r="P263" s="54" t="s">
        <v>22</v>
      </c>
      <c r="Q263" s="54" t="s">
        <v>39</v>
      </c>
      <c r="R263" s="160"/>
      <c r="S263" s="63" t="s">
        <v>0</v>
      </c>
      <c r="T263" s="1">
        <v>47.6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59">
        <f t="shared" si="98"/>
        <v>47.6</v>
      </c>
      <c r="AB263" s="58">
        <v>2018</v>
      </c>
      <c r="AC263" s="9"/>
      <c r="AD263" s="101"/>
      <c r="AE263" s="101"/>
    </row>
    <row r="264" spans="1:31" s="72" customFormat="1" ht="46.95" hidden="1" customHeight="1" x14ac:dyDescent="0.3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78" t="s">
        <v>200</v>
      </c>
      <c r="S264" s="89" t="s">
        <v>175</v>
      </c>
      <c r="T264" s="3">
        <v>65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49">
        <f t="shared" si="98"/>
        <v>65</v>
      </c>
      <c r="AB264" s="41">
        <v>2018</v>
      </c>
      <c r="AC264" s="70"/>
      <c r="AD264" s="85"/>
      <c r="AE264" s="85"/>
    </row>
    <row r="265" spans="1:31" x14ac:dyDescent="0.3">
      <c r="A265" s="54" t="s">
        <v>18</v>
      </c>
      <c r="B265" s="54" t="s">
        <v>18</v>
      </c>
      <c r="C265" s="54" t="s">
        <v>24</v>
      </c>
      <c r="D265" s="54" t="s">
        <v>18</v>
      </c>
      <c r="E265" s="54" t="s">
        <v>18</v>
      </c>
      <c r="F265" s="54" t="s">
        <v>18</v>
      </c>
      <c r="G265" s="54" t="s">
        <v>18</v>
      </c>
      <c r="H265" s="54" t="s">
        <v>19</v>
      </c>
      <c r="I265" s="54" t="s">
        <v>24</v>
      </c>
      <c r="J265" s="54" t="s">
        <v>18</v>
      </c>
      <c r="K265" s="54" t="s">
        <v>18</v>
      </c>
      <c r="L265" s="54" t="s">
        <v>20</v>
      </c>
      <c r="M265" s="54" t="s">
        <v>18</v>
      </c>
      <c r="N265" s="54" t="s">
        <v>18</v>
      </c>
      <c r="O265" s="54" t="s">
        <v>18</v>
      </c>
      <c r="P265" s="54" t="s">
        <v>18</v>
      </c>
      <c r="Q265" s="54" t="s">
        <v>18</v>
      </c>
      <c r="R265" s="160" t="s">
        <v>140</v>
      </c>
      <c r="S265" s="63" t="s">
        <v>0</v>
      </c>
      <c r="T265" s="59">
        <f>SUM(T266:T269)</f>
        <v>3440.1</v>
      </c>
      <c r="U265" s="59">
        <f>SUM(U268:U271)</f>
        <v>3636.2999999999997</v>
      </c>
      <c r="V265" s="59">
        <f>SUM(V266:V271)</f>
        <v>1375.3</v>
      </c>
      <c r="W265" s="59">
        <f t="shared" ref="W265:Z265" si="99">SUM(W266:W269)</f>
        <v>0</v>
      </c>
      <c r="X265" s="59">
        <f t="shared" si="99"/>
        <v>0</v>
      </c>
      <c r="Y265" s="59">
        <f t="shared" si="99"/>
        <v>0</v>
      </c>
      <c r="Z265" s="59">
        <f t="shared" si="99"/>
        <v>0</v>
      </c>
      <c r="AA265" s="59">
        <f t="shared" si="98"/>
        <v>8451.6999999999989</v>
      </c>
      <c r="AB265" s="58">
        <v>2020</v>
      </c>
      <c r="AC265" s="124"/>
      <c r="AD265" s="101"/>
      <c r="AE265" s="101"/>
    </row>
    <row r="266" spans="1:31" x14ac:dyDescent="0.3">
      <c r="A266" s="54" t="s">
        <v>18</v>
      </c>
      <c r="B266" s="54" t="s">
        <v>18</v>
      </c>
      <c r="C266" s="54" t="s">
        <v>24</v>
      </c>
      <c r="D266" s="54" t="s">
        <v>18</v>
      </c>
      <c r="E266" s="54" t="s">
        <v>18</v>
      </c>
      <c r="F266" s="54" t="s">
        <v>18</v>
      </c>
      <c r="G266" s="54" t="s">
        <v>18</v>
      </c>
      <c r="H266" s="54" t="s">
        <v>19</v>
      </c>
      <c r="I266" s="54" t="s">
        <v>24</v>
      </c>
      <c r="J266" s="54" t="s">
        <v>18</v>
      </c>
      <c r="K266" s="54" t="s">
        <v>18</v>
      </c>
      <c r="L266" s="54" t="s">
        <v>20</v>
      </c>
      <c r="M266" s="54" t="s">
        <v>19</v>
      </c>
      <c r="N266" s="54" t="s">
        <v>18</v>
      </c>
      <c r="O266" s="54" t="s">
        <v>24</v>
      </c>
      <c r="P266" s="54" t="s">
        <v>22</v>
      </c>
      <c r="Q266" s="54" t="s">
        <v>45</v>
      </c>
      <c r="R266" s="160"/>
      <c r="S266" s="63" t="s">
        <v>0</v>
      </c>
      <c r="T266" s="1">
        <f>T275+T281+T286+T291+T296+T301</f>
        <v>1609.7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59">
        <f t="shared" si="98"/>
        <v>1609.7</v>
      </c>
      <c r="AB266" s="58">
        <v>2018</v>
      </c>
      <c r="AC266" s="124"/>
      <c r="AD266" s="101"/>
      <c r="AE266" s="101"/>
    </row>
    <row r="267" spans="1:31" ht="15.6" hidden="1" customHeight="1" x14ac:dyDescent="0.3">
      <c r="A267" s="54" t="s">
        <v>18</v>
      </c>
      <c r="B267" s="54" t="s">
        <v>18</v>
      </c>
      <c r="C267" s="54" t="s">
        <v>24</v>
      </c>
      <c r="D267" s="54" t="s">
        <v>18</v>
      </c>
      <c r="E267" s="54" t="s">
        <v>18</v>
      </c>
      <c r="F267" s="54" t="s">
        <v>18</v>
      </c>
      <c r="G267" s="54" t="s">
        <v>18</v>
      </c>
      <c r="H267" s="54" t="s">
        <v>19</v>
      </c>
      <c r="I267" s="54" t="s">
        <v>24</v>
      </c>
      <c r="J267" s="54" t="s">
        <v>18</v>
      </c>
      <c r="K267" s="54" t="s">
        <v>18</v>
      </c>
      <c r="L267" s="54" t="s">
        <v>20</v>
      </c>
      <c r="M267" s="54" t="s">
        <v>37</v>
      </c>
      <c r="N267" s="54" t="s">
        <v>18</v>
      </c>
      <c r="O267" s="54" t="s">
        <v>43</v>
      </c>
      <c r="P267" s="54" t="s">
        <v>22</v>
      </c>
      <c r="Q267" s="54" t="s">
        <v>178</v>
      </c>
      <c r="R267" s="160"/>
      <c r="S267" s="63" t="s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59">
        <f t="shared" si="98"/>
        <v>0</v>
      </c>
      <c r="AB267" s="58">
        <v>2018</v>
      </c>
      <c r="AC267" s="124"/>
      <c r="AD267" s="101"/>
      <c r="AE267" s="101"/>
    </row>
    <row r="268" spans="1:31" x14ac:dyDescent="0.3">
      <c r="A268" s="54" t="s">
        <v>18</v>
      </c>
      <c r="B268" s="54" t="s">
        <v>18</v>
      </c>
      <c r="C268" s="54" t="s">
        <v>24</v>
      </c>
      <c r="D268" s="54" t="s">
        <v>18</v>
      </c>
      <c r="E268" s="54" t="s">
        <v>18</v>
      </c>
      <c r="F268" s="54" t="s">
        <v>18</v>
      </c>
      <c r="G268" s="54" t="s">
        <v>18</v>
      </c>
      <c r="H268" s="54" t="s">
        <v>19</v>
      </c>
      <c r="I268" s="54" t="s">
        <v>24</v>
      </c>
      <c r="J268" s="54" t="s">
        <v>18</v>
      </c>
      <c r="K268" s="54" t="s">
        <v>18</v>
      </c>
      <c r="L268" s="54" t="s">
        <v>20</v>
      </c>
      <c r="M268" s="54" t="s">
        <v>37</v>
      </c>
      <c r="N268" s="54" t="s">
        <v>18</v>
      </c>
      <c r="O268" s="54" t="s">
        <v>24</v>
      </c>
      <c r="P268" s="54" t="s">
        <v>22</v>
      </c>
      <c r="Q268" s="54" t="s">
        <v>46</v>
      </c>
      <c r="R268" s="160"/>
      <c r="S268" s="63" t="s">
        <v>0</v>
      </c>
      <c r="T268" s="1">
        <f>T277+T282+T287+T292+T297+T302</f>
        <v>441.79999999999995</v>
      </c>
      <c r="U268" s="1">
        <v>394.2</v>
      </c>
      <c r="V268" s="1">
        <v>235.1</v>
      </c>
      <c r="W268" s="1">
        <v>0</v>
      </c>
      <c r="X268" s="1">
        <v>0</v>
      </c>
      <c r="Y268" s="1">
        <v>0</v>
      </c>
      <c r="Z268" s="1">
        <v>0</v>
      </c>
      <c r="AA268" s="59">
        <f t="shared" si="98"/>
        <v>1071.0999999999999</v>
      </c>
      <c r="AB268" s="58">
        <v>2020</v>
      </c>
      <c r="AC268" s="124"/>
      <c r="AD268" s="101"/>
      <c r="AE268" s="101"/>
    </row>
    <row r="269" spans="1:31" x14ac:dyDescent="0.3">
      <c r="A269" s="54" t="s">
        <v>18</v>
      </c>
      <c r="B269" s="54" t="s">
        <v>18</v>
      </c>
      <c r="C269" s="54" t="s">
        <v>24</v>
      </c>
      <c r="D269" s="54" t="s">
        <v>18</v>
      </c>
      <c r="E269" s="54" t="s">
        <v>18</v>
      </c>
      <c r="F269" s="54" t="s">
        <v>18</v>
      </c>
      <c r="G269" s="54" t="s">
        <v>18</v>
      </c>
      <c r="H269" s="54" t="s">
        <v>19</v>
      </c>
      <c r="I269" s="54" t="s">
        <v>24</v>
      </c>
      <c r="J269" s="54" t="s">
        <v>18</v>
      </c>
      <c r="K269" s="54" t="s">
        <v>18</v>
      </c>
      <c r="L269" s="54" t="s">
        <v>20</v>
      </c>
      <c r="M269" s="54" t="s">
        <v>37</v>
      </c>
      <c r="N269" s="54" t="s">
        <v>18</v>
      </c>
      <c r="O269" s="54" t="s">
        <v>24</v>
      </c>
      <c r="P269" s="54" t="s">
        <v>22</v>
      </c>
      <c r="Q269" s="54" t="s">
        <v>39</v>
      </c>
      <c r="R269" s="160"/>
      <c r="S269" s="63" t="s">
        <v>0</v>
      </c>
      <c r="T269" s="1">
        <v>1388.6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59">
        <f t="shared" si="98"/>
        <v>1388.6</v>
      </c>
      <c r="AB269" s="58">
        <v>2018</v>
      </c>
      <c r="AC269" s="124"/>
      <c r="AD269" s="101"/>
      <c r="AE269" s="101"/>
    </row>
    <row r="270" spans="1:31" x14ac:dyDescent="0.3">
      <c r="A270" s="54" t="s">
        <v>18</v>
      </c>
      <c r="B270" s="54" t="s">
        <v>18</v>
      </c>
      <c r="C270" s="54" t="s">
        <v>24</v>
      </c>
      <c r="D270" s="54" t="s">
        <v>18</v>
      </c>
      <c r="E270" s="54" t="s">
        <v>18</v>
      </c>
      <c r="F270" s="54" t="s">
        <v>18</v>
      </c>
      <c r="G270" s="54" t="s">
        <v>18</v>
      </c>
      <c r="H270" s="54" t="s">
        <v>19</v>
      </c>
      <c r="I270" s="54" t="s">
        <v>24</v>
      </c>
      <c r="J270" s="54" t="s">
        <v>18</v>
      </c>
      <c r="K270" s="54" t="s">
        <v>18</v>
      </c>
      <c r="L270" s="54" t="s">
        <v>20</v>
      </c>
      <c r="M270" s="54" t="s">
        <v>19</v>
      </c>
      <c r="N270" s="54" t="s">
        <v>18</v>
      </c>
      <c r="O270" s="54" t="s">
        <v>24</v>
      </c>
      <c r="P270" s="54" t="s">
        <v>22</v>
      </c>
      <c r="Q270" s="54" t="s">
        <v>18</v>
      </c>
      <c r="R270" s="160"/>
      <c r="S270" s="63" t="s">
        <v>0</v>
      </c>
      <c r="T270" s="1">
        <v>0</v>
      </c>
      <c r="U270" s="1">
        <f>1865.4-95.4</f>
        <v>1770</v>
      </c>
      <c r="V270" s="1">
        <f>600-600</f>
        <v>0</v>
      </c>
      <c r="W270" s="1">
        <v>0</v>
      </c>
      <c r="X270" s="1">
        <v>0</v>
      </c>
      <c r="Y270" s="1">
        <v>0</v>
      </c>
      <c r="Z270" s="1">
        <v>0</v>
      </c>
      <c r="AA270" s="59">
        <f>SUM(T270:Y270)</f>
        <v>1770</v>
      </c>
      <c r="AB270" s="58">
        <v>2020</v>
      </c>
      <c r="AC270" s="124"/>
      <c r="AD270" s="101"/>
      <c r="AE270" s="101"/>
    </row>
    <row r="271" spans="1:31" x14ac:dyDescent="0.3">
      <c r="A271" s="54" t="s">
        <v>18</v>
      </c>
      <c r="B271" s="54" t="s">
        <v>18</v>
      </c>
      <c r="C271" s="54" t="s">
        <v>24</v>
      </c>
      <c r="D271" s="54" t="s">
        <v>18</v>
      </c>
      <c r="E271" s="54" t="s">
        <v>18</v>
      </c>
      <c r="F271" s="54" t="s">
        <v>18</v>
      </c>
      <c r="G271" s="54" t="s">
        <v>18</v>
      </c>
      <c r="H271" s="54" t="s">
        <v>19</v>
      </c>
      <c r="I271" s="54" t="s">
        <v>24</v>
      </c>
      <c r="J271" s="54" t="s">
        <v>18</v>
      </c>
      <c r="K271" s="54" t="s">
        <v>18</v>
      </c>
      <c r="L271" s="54" t="s">
        <v>20</v>
      </c>
      <c r="M271" s="54" t="s">
        <v>37</v>
      </c>
      <c r="N271" s="54" t="s">
        <v>18</v>
      </c>
      <c r="O271" s="54" t="s">
        <v>24</v>
      </c>
      <c r="P271" s="54" t="s">
        <v>22</v>
      </c>
      <c r="Q271" s="54" t="s">
        <v>18</v>
      </c>
      <c r="R271" s="160"/>
      <c r="S271" s="63" t="s">
        <v>0</v>
      </c>
      <c r="T271" s="1">
        <v>0</v>
      </c>
      <c r="U271" s="1">
        <v>1472.1</v>
      </c>
      <c r="V271" s="1">
        <f>540.2+600</f>
        <v>1140.2</v>
      </c>
      <c r="W271" s="1">
        <v>0</v>
      </c>
      <c r="X271" s="1">
        <v>0</v>
      </c>
      <c r="Y271" s="1">
        <v>0</v>
      </c>
      <c r="Z271" s="1">
        <v>0</v>
      </c>
      <c r="AA271" s="59">
        <f t="shared" ref="AA271" si="100">SUM(T271:Y271)</f>
        <v>2612.3000000000002</v>
      </c>
      <c r="AB271" s="58">
        <v>2020</v>
      </c>
      <c r="AC271" s="124"/>
      <c r="AD271" s="101"/>
      <c r="AE271" s="101"/>
    </row>
    <row r="272" spans="1:31" ht="46.8" x14ac:dyDescent="0.3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80" t="s">
        <v>310</v>
      </c>
      <c r="S272" s="62" t="s">
        <v>52</v>
      </c>
      <c r="T272" s="3">
        <v>0.2</v>
      </c>
      <c r="U272" s="3">
        <v>1.2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6">
        <f t="shared" si="98"/>
        <v>1.4</v>
      </c>
      <c r="AB272" s="41">
        <v>2019</v>
      </c>
      <c r="AC272" s="128"/>
      <c r="AD272" s="101"/>
      <c r="AE272" s="101"/>
    </row>
    <row r="273" spans="1:31" ht="46.8" x14ac:dyDescent="0.3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80" t="s">
        <v>311</v>
      </c>
      <c r="S273" s="84" t="s">
        <v>50</v>
      </c>
      <c r="T273" s="44">
        <v>6</v>
      </c>
      <c r="U273" s="44">
        <v>5</v>
      </c>
      <c r="V273" s="44">
        <v>1</v>
      </c>
      <c r="W273" s="44">
        <v>0</v>
      </c>
      <c r="X273" s="44">
        <v>0</v>
      </c>
      <c r="Y273" s="44">
        <v>0</v>
      </c>
      <c r="Z273" s="44">
        <v>0</v>
      </c>
      <c r="AA273" s="49">
        <f t="shared" si="98"/>
        <v>12</v>
      </c>
      <c r="AB273" s="41">
        <v>2020</v>
      </c>
      <c r="AC273" s="128"/>
      <c r="AD273" s="101"/>
      <c r="AE273" s="101"/>
    </row>
    <row r="274" spans="1:31" ht="16.350000000000001" hidden="1" customHeight="1" x14ac:dyDescent="0.3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160" t="s">
        <v>201</v>
      </c>
      <c r="S274" s="63" t="s">
        <v>0</v>
      </c>
      <c r="T274" s="1">
        <f>SUM(T275:T278)</f>
        <v>943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59">
        <f t="shared" si="98"/>
        <v>943</v>
      </c>
      <c r="AB274" s="58">
        <v>2018</v>
      </c>
      <c r="AC274" s="9"/>
      <c r="AD274" s="101"/>
      <c r="AE274" s="101"/>
    </row>
    <row r="275" spans="1:31" ht="16.350000000000001" hidden="1" customHeight="1" x14ac:dyDescent="0.3">
      <c r="A275" s="54" t="s">
        <v>18</v>
      </c>
      <c r="B275" s="54" t="s">
        <v>18</v>
      </c>
      <c r="C275" s="54" t="s">
        <v>24</v>
      </c>
      <c r="D275" s="54" t="s">
        <v>18</v>
      </c>
      <c r="E275" s="54" t="s">
        <v>24</v>
      </c>
      <c r="F275" s="54" t="s">
        <v>18</v>
      </c>
      <c r="G275" s="54" t="s">
        <v>43</v>
      </c>
      <c r="H275" s="54" t="s">
        <v>19</v>
      </c>
      <c r="I275" s="54" t="s">
        <v>24</v>
      </c>
      <c r="J275" s="54" t="s">
        <v>18</v>
      </c>
      <c r="K275" s="54" t="s">
        <v>18</v>
      </c>
      <c r="L275" s="54" t="s">
        <v>20</v>
      </c>
      <c r="M275" s="54" t="s">
        <v>19</v>
      </c>
      <c r="N275" s="54" t="s">
        <v>18</v>
      </c>
      <c r="O275" s="54" t="s">
        <v>24</v>
      </c>
      <c r="P275" s="54" t="s">
        <v>22</v>
      </c>
      <c r="Q275" s="54" t="s">
        <v>45</v>
      </c>
      <c r="R275" s="160"/>
      <c r="S275" s="63" t="s">
        <v>0</v>
      </c>
      <c r="T275" s="1">
        <v>377.2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59">
        <f t="shared" si="98"/>
        <v>377.2</v>
      </c>
      <c r="AB275" s="58">
        <v>2018</v>
      </c>
      <c r="AC275" s="9"/>
      <c r="AD275" s="101"/>
      <c r="AE275" s="101"/>
    </row>
    <row r="276" spans="1:31" ht="16.350000000000001" hidden="1" customHeight="1" x14ac:dyDescent="0.3">
      <c r="A276" s="54" t="s">
        <v>18</v>
      </c>
      <c r="B276" s="54" t="s">
        <v>18</v>
      </c>
      <c r="C276" s="54" t="s">
        <v>24</v>
      </c>
      <c r="D276" s="54" t="s">
        <v>18</v>
      </c>
      <c r="E276" s="54" t="s">
        <v>24</v>
      </c>
      <c r="F276" s="54" t="s">
        <v>18</v>
      </c>
      <c r="G276" s="54" t="s">
        <v>43</v>
      </c>
      <c r="H276" s="54" t="s">
        <v>19</v>
      </c>
      <c r="I276" s="54" t="s">
        <v>24</v>
      </c>
      <c r="J276" s="54" t="s">
        <v>18</v>
      </c>
      <c r="K276" s="54" t="s">
        <v>18</v>
      </c>
      <c r="L276" s="54" t="s">
        <v>20</v>
      </c>
      <c r="M276" s="54" t="s">
        <v>37</v>
      </c>
      <c r="N276" s="54" t="s">
        <v>18</v>
      </c>
      <c r="O276" s="54" t="s">
        <v>43</v>
      </c>
      <c r="P276" s="54" t="s">
        <v>22</v>
      </c>
      <c r="Q276" s="54" t="s">
        <v>178</v>
      </c>
      <c r="R276" s="160"/>
      <c r="S276" s="63" t="s">
        <v>0</v>
      </c>
      <c r="T276" s="1">
        <v>30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59">
        <f t="shared" si="98"/>
        <v>30</v>
      </c>
      <c r="AB276" s="58">
        <v>2018</v>
      </c>
      <c r="AC276" s="9"/>
      <c r="AD276" s="101"/>
      <c r="AE276" s="101"/>
    </row>
    <row r="277" spans="1:31" ht="16.350000000000001" hidden="1" customHeight="1" x14ac:dyDescent="0.3">
      <c r="A277" s="54" t="s">
        <v>18</v>
      </c>
      <c r="B277" s="54" t="s">
        <v>18</v>
      </c>
      <c r="C277" s="54" t="s">
        <v>24</v>
      </c>
      <c r="D277" s="54" t="s">
        <v>18</v>
      </c>
      <c r="E277" s="54" t="s">
        <v>24</v>
      </c>
      <c r="F277" s="54" t="s">
        <v>18</v>
      </c>
      <c r="G277" s="54" t="s">
        <v>43</v>
      </c>
      <c r="H277" s="54" t="s">
        <v>19</v>
      </c>
      <c r="I277" s="54" t="s">
        <v>24</v>
      </c>
      <c r="J277" s="54" t="s">
        <v>18</v>
      </c>
      <c r="K277" s="54" t="s">
        <v>18</v>
      </c>
      <c r="L277" s="54" t="s">
        <v>20</v>
      </c>
      <c r="M277" s="54" t="s">
        <v>37</v>
      </c>
      <c r="N277" s="54" t="s">
        <v>18</v>
      </c>
      <c r="O277" s="54" t="s">
        <v>24</v>
      </c>
      <c r="P277" s="54" t="s">
        <v>22</v>
      </c>
      <c r="Q277" s="54" t="s">
        <v>46</v>
      </c>
      <c r="R277" s="160"/>
      <c r="S277" s="63" t="s">
        <v>0</v>
      </c>
      <c r="T277" s="1">
        <v>113.2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59">
        <f t="shared" si="98"/>
        <v>113.2</v>
      </c>
      <c r="AB277" s="58">
        <v>2018</v>
      </c>
      <c r="AC277" s="9"/>
      <c r="AD277" s="101"/>
      <c r="AE277" s="101"/>
    </row>
    <row r="278" spans="1:31" ht="16.350000000000001" hidden="1" customHeight="1" x14ac:dyDescent="0.3">
      <c r="A278" s="54" t="s">
        <v>18</v>
      </c>
      <c r="B278" s="54" t="s">
        <v>18</v>
      </c>
      <c r="C278" s="54" t="s">
        <v>24</v>
      </c>
      <c r="D278" s="54" t="s">
        <v>18</v>
      </c>
      <c r="E278" s="54" t="s">
        <v>24</v>
      </c>
      <c r="F278" s="54" t="s">
        <v>18</v>
      </c>
      <c r="G278" s="54" t="s">
        <v>43</v>
      </c>
      <c r="H278" s="54" t="s">
        <v>19</v>
      </c>
      <c r="I278" s="54" t="s">
        <v>24</v>
      </c>
      <c r="J278" s="54" t="s">
        <v>18</v>
      </c>
      <c r="K278" s="54" t="s">
        <v>18</v>
      </c>
      <c r="L278" s="54" t="s">
        <v>20</v>
      </c>
      <c r="M278" s="54" t="s">
        <v>37</v>
      </c>
      <c r="N278" s="54" t="s">
        <v>18</v>
      </c>
      <c r="O278" s="54" t="s">
        <v>24</v>
      </c>
      <c r="P278" s="54" t="s">
        <v>22</v>
      </c>
      <c r="Q278" s="54" t="s">
        <v>39</v>
      </c>
      <c r="R278" s="160"/>
      <c r="S278" s="63" t="s">
        <v>0</v>
      </c>
      <c r="T278" s="1">
        <v>422.6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59">
        <f t="shared" si="98"/>
        <v>422.6</v>
      </c>
      <c r="AB278" s="58">
        <v>2018</v>
      </c>
      <c r="AC278" s="9"/>
      <c r="AD278" s="101"/>
      <c r="AE278" s="101"/>
    </row>
    <row r="279" spans="1:31" ht="33.6" hidden="1" customHeight="1" x14ac:dyDescent="0.3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88" t="s">
        <v>202</v>
      </c>
      <c r="S279" s="84" t="s">
        <v>175</v>
      </c>
      <c r="T279" s="3">
        <v>1046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6">
        <f t="shared" si="98"/>
        <v>1046</v>
      </c>
      <c r="AB279" s="41">
        <v>2018</v>
      </c>
      <c r="AC279" s="9"/>
      <c r="AD279" s="101"/>
      <c r="AE279" s="101"/>
    </row>
    <row r="280" spans="1:31" ht="21.75" hidden="1" customHeight="1" x14ac:dyDescent="0.3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160" t="s">
        <v>203</v>
      </c>
      <c r="S280" s="63" t="s">
        <v>0</v>
      </c>
      <c r="T280" s="1">
        <f>SUM(T281:T283)</f>
        <v>835.4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59">
        <f>SUM(T280:Y280)</f>
        <v>835.4</v>
      </c>
      <c r="AB280" s="58">
        <v>2018</v>
      </c>
      <c r="AC280" s="9"/>
      <c r="AD280" s="101"/>
      <c r="AE280" s="101"/>
    </row>
    <row r="281" spans="1:31" ht="22.95" hidden="1" customHeight="1" x14ac:dyDescent="0.3">
      <c r="A281" s="54" t="s">
        <v>18</v>
      </c>
      <c r="B281" s="54" t="s">
        <v>18</v>
      </c>
      <c r="C281" s="54" t="s">
        <v>24</v>
      </c>
      <c r="D281" s="54" t="s">
        <v>18</v>
      </c>
      <c r="E281" s="54" t="s">
        <v>21</v>
      </c>
      <c r="F281" s="54" t="s">
        <v>18</v>
      </c>
      <c r="G281" s="54" t="s">
        <v>22</v>
      </c>
      <c r="H281" s="54" t="s">
        <v>19</v>
      </c>
      <c r="I281" s="54" t="s">
        <v>24</v>
      </c>
      <c r="J281" s="54" t="s">
        <v>18</v>
      </c>
      <c r="K281" s="54" t="s">
        <v>18</v>
      </c>
      <c r="L281" s="54" t="s">
        <v>20</v>
      </c>
      <c r="M281" s="54" t="s">
        <v>19</v>
      </c>
      <c r="N281" s="54" t="s">
        <v>18</v>
      </c>
      <c r="O281" s="54" t="s">
        <v>24</v>
      </c>
      <c r="P281" s="54" t="s">
        <v>22</v>
      </c>
      <c r="Q281" s="54" t="s">
        <v>45</v>
      </c>
      <c r="R281" s="160"/>
      <c r="S281" s="63" t="s">
        <v>0</v>
      </c>
      <c r="T281" s="1">
        <v>334.2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59">
        <f>SUM(T281:Y281)</f>
        <v>334.2</v>
      </c>
      <c r="AB281" s="58">
        <v>2018</v>
      </c>
      <c r="AC281" s="9"/>
      <c r="AD281" s="101"/>
      <c r="AE281" s="101"/>
    </row>
    <row r="282" spans="1:31" ht="22.2" hidden="1" customHeight="1" x14ac:dyDescent="0.3">
      <c r="A282" s="54" t="s">
        <v>18</v>
      </c>
      <c r="B282" s="54" t="s">
        <v>18</v>
      </c>
      <c r="C282" s="54" t="s">
        <v>24</v>
      </c>
      <c r="D282" s="54" t="s">
        <v>18</v>
      </c>
      <c r="E282" s="54" t="s">
        <v>21</v>
      </c>
      <c r="F282" s="54" t="s">
        <v>18</v>
      </c>
      <c r="G282" s="54" t="s">
        <v>22</v>
      </c>
      <c r="H282" s="54" t="s">
        <v>19</v>
      </c>
      <c r="I282" s="54" t="s">
        <v>24</v>
      </c>
      <c r="J282" s="54" t="s">
        <v>18</v>
      </c>
      <c r="K282" s="54" t="s">
        <v>18</v>
      </c>
      <c r="L282" s="54" t="s">
        <v>20</v>
      </c>
      <c r="M282" s="54" t="s">
        <v>37</v>
      </c>
      <c r="N282" s="54" t="s">
        <v>18</v>
      </c>
      <c r="O282" s="54" t="s">
        <v>24</v>
      </c>
      <c r="P282" s="54" t="s">
        <v>22</v>
      </c>
      <c r="Q282" s="54" t="s">
        <v>46</v>
      </c>
      <c r="R282" s="160"/>
      <c r="S282" s="63" t="s">
        <v>0</v>
      </c>
      <c r="T282" s="1">
        <v>83.5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59">
        <f>SUM(T282:Y282)</f>
        <v>83.5</v>
      </c>
      <c r="AB282" s="58">
        <v>2018</v>
      </c>
      <c r="AC282" s="9"/>
      <c r="AD282" s="101"/>
      <c r="AE282" s="101"/>
    </row>
    <row r="283" spans="1:31" ht="21.75" hidden="1" customHeight="1" x14ac:dyDescent="0.3">
      <c r="A283" s="54" t="s">
        <v>18</v>
      </c>
      <c r="B283" s="54" t="s">
        <v>18</v>
      </c>
      <c r="C283" s="54" t="s">
        <v>24</v>
      </c>
      <c r="D283" s="54" t="s">
        <v>18</v>
      </c>
      <c r="E283" s="54" t="s">
        <v>21</v>
      </c>
      <c r="F283" s="54" t="s">
        <v>18</v>
      </c>
      <c r="G283" s="54" t="s">
        <v>22</v>
      </c>
      <c r="H283" s="54" t="s">
        <v>19</v>
      </c>
      <c r="I283" s="54" t="s">
        <v>24</v>
      </c>
      <c r="J283" s="54" t="s">
        <v>18</v>
      </c>
      <c r="K283" s="54" t="s">
        <v>18</v>
      </c>
      <c r="L283" s="54" t="s">
        <v>20</v>
      </c>
      <c r="M283" s="54" t="s">
        <v>37</v>
      </c>
      <c r="N283" s="54" t="s">
        <v>18</v>
      </c>
      <c r="O283" s="54" t="s">
        <v>24</v>
      </c>
      <c r="P283" s="54" t="s">
        <v>22</v>
      </c>
      <c r="Q283" s="54" t="s">
        <v>39</v>
      </c>
      <c r="R283" s="160"/>
      <c r="S283" s="63" t="s">
        <v>0</v>
      </c>
      <c r="T283" s="1">
        <v>417.7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59">
        <f>SUM(T283:Y283)</f>
        <v>417.7</v>
      </c>
      <c r="AB283" s="58">
        <v>2018</v>
      </c>
      <c r="AC283" s="9"/>
      <c r="AD283" s="101"/>
      <c r="AE283" s="101"/>
    </row>
    <row r="284" spans="1:31" ht="47.4" hidden="1" customHeight="1" x14ac:dyDescent="0.3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88" t="s">
        <v>204</v>
      </c>
      <c r="S284" s="84" t="s">
        <v>8</v>
      </c>
      <c r="T284" s="44">
        <v>1</v>
      </c>
      <c r="U284" s="44">
        <v>0</v>
      </c>
      <c r="V284" s="44">
        <v>0</v>
      </c>
      <c r="W284" s="44">
        <v>0</v>
      </c>
      <c r="X284" s="44">
        <v>0</v>
      </c>
      <c r="Y284" s="44">
        <v>0</v>
      </c>
      <c r="Z284" s="44">
        <v>0</v>
      </c>
      <c r="AA284" s="6">
        <f>SUM(T284:Y284)</f>
        <v>1</v>
      </c>
      <c r="AB284" s="41">
        <v>2018</v>
      </c>
      <c r="AC284" s="9"/>
      <c r="AD284" s="101"/>
      <c r="AE284" s="101"/>
    </row>
    <row r="285" spans="1:31" ht="16.350000000000001" hidden="1" customHeight="1" x14ac:dyDescent="0.3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160" t="s">
        <v>205</v>
      </c>
      <c r="S285" s="63" t="s">
        <v>0</v>
      </c>
      <c r="T285" s="1">
        <f>SUM(T286:T288)</f>
        <v>952.5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59">
        <f t="shared" ref="AA285:AA314" si="101">SUM(T285:Y285)</f>
        <v>952.5</v>
      </c>
      <c r="AB285" s="58">
        <v>2018</v>
      </c>
      <c r="AC285" s="9"/>
      <c r="AD285" s="101"/>
      <c r="AE285" s="101"/>
    </row>
    <row r="286" spans="1:31" ht="16.350000000000001" hidden="1" customHeight="1" x14ac:dyDescent="0.3">
      <c r="A286" s="54" t="s">
        <v>18</v>
      </c>
      <c r="B286" s="54" t="s">
        <v>18</v>
      </c>
      <c r="C286" s="54" t="s">
        <v>24</v>
      </c>
      <c r="D286" s="54" t="s">
        <v>18</v>
      </c>
      <c r="E286" s="54" t="s">
        <v>21</v>
      </c>
      <c r="F286" s="54" t="s">
        <v>18</v>
      </c>
      <c r="G286" s="54" t="s">
        <v>22</v>
      </c>
      <c r="H286" s="54" t="s">
        <v>19</v>
      </c>
      <c r="I286" s="54" t="s">
        <v>24</v>
      </c>
      <c r="J286" s="54" t="s">
        <v>18</v>
      </c>
      <c r="K286" s="54" t="s">
        <v>18</v>
      </c>
      <c r="L286" s="54" t="s">
        <v>20</v>
      </c>
      <c r="M286" s="54" t="s">
        <v>19</v>
      </c>
      <c r="N286" s="54" t="s">
        <v>18</v>
      </c>
      <c r="O286" s="54" t="s">
        <v>24</v>
      </c>
      <c r="P286" s="54" t="s">
        <v>22</v>
      </c>
      <c r="Q286" s="54" t="s">
        <v>45</v>
      </c>
      <c r="R286" s="160"/>
      <c r="S286" s="63" t="s">
        <v>0</v>
      </c>
      <c r="T286" s="1">
        <v>381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59">
        <f t="shared" si="101"/>
        <v>381</v>
      </c>
      <c r="AB286" s="58">
        <v>2018</v>
      </c>
      <c r="AC286" s="9"/>
      <c r="AD286" s="101"/>
      <c r="AE286" s="101"/>
    </row>
    <row r="287" spans="1:31" ht="16.350000000000001" hidden="1" customHeight="1" x14ac:dyDescent="0.3">
      <c r="A287" s="54" t="s">
        <v>18</v>
      </c>
      <c r="B287" s="54" t="s">
        <v>18</v>
      </c>
      <c r="C287" s="54" t="s">
        <v>24</v>
      </c>
      <c r="D287" s="54" t="s">
        <v>18</v>
      </c>
      <c r="E287" s="54" t="s">
        <v>21</v>
      </c>
      <c r="F287" s="54" t="s">
        <v>18</v>
      </c>
      <c r="G287" s="54" t="s">
        <v>22</v>
      </c>
      <c r="H287" s="54" t="s">
        <v>19</v>
      </c>
      <c r="I287" s="54" t="s">
        <v>24</v>
      </c>
      <c r="J287" s="54" t="s">
        <v>18</v>
      </c>
      <c r="K287" s="54" t="s">
        <v>18</v>
      </c>
      <c r="L287" s="54" t="s">
        <v>20</v>
      </c>
      <c r="M287" s="54" t="s">
        <v>37</v>
      </c>
      <c r="N287" s="54" t="s">
        <v>18</v>
      </c>
      <c r="O287" s="54" t="s">
        <v>24</v>
      </c>
      <c r="P287" s="54" t="s">
        <v>22</v>
      </c>
      <c r="Q287" s="54" t="s">
        <v>46</v>
      </c>
      <c r="R287" s="160"/>
      <c r="S287" s="63" t="s">
        <v>0</v>
      </c>
      <c r="T287" s="1">
        <v>114.3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59">
        <f t="shared" si="101"/>
        <v>114.3</v>
      </c>
      <c r="AB287" s="58">
        <v>2018</v>
      </c>
      <c r="AC287" s="9"/>
      <c r="AD287" s="101"/>
      <c r="AE287" s="101"/>
    </row>
    <row r="288" spans="1:31" ht="16.350000000000001" hidden="1" customHeight="1" x14ac:dyDescent="0.3">
      <c r="A288" s="54" t="s">
        <v>18</v>
      </c>
      <c r="B288" s="54" t="s">
        <v>18</v>
      </c>
      <c r="C288" s="54" t="s">
        <v>24</v>
      </c>
      <c r="D288" s="54" t="s">
        <v>18</v>
      </c>
      <c r="E288" s="54" t="s">
        <v>21</v>
      </c>
      <c r="F288" s="54" t="s">
        <v>18</v>
      </c>
      <c r="G288" s="54" t="s">
        <v>22</v>
      </c>
      <c r="H288" s="54" t="s">
        <v>19</v>
      </c>
      <c r="I288" s="54" t="s">
        <v>24</v>
      </c>
      <c r="J288" s="54" t="s">
        <v>18</v>
      </c>
      <c r="K288" s="54" t="s">
        <v>18</v>
      </c>
      <c r="L288" s="54" t="s">
        <v>20</v>
      </c>
      <c r="M288" s="54" t="s">
        <v>37</v>
      </c>
      <c r="N288" s="54" t="s">
        <v>18</v>
      </c>
      <c r="O288" s="54" t="s">
        <v>24</v>
      </c>
      <c r="P288" s="54" t="s">
        <v>22</v>
      </c>
      <c r="Q288" s="54" t="s">
        <v>39</v>
      </c>
      <c r="R288" s="160"/>
      <c r="S288" s="63" t="s">
        <v>0</v>
      </c>
      <c r="T288" s="1">
        <v>457.2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59">
        <f t="shared" si="101"/>
        <v>457.2</v>
      </c>
      <c r="AB288" s="58">
        <v>2018</v>
      </c>
      <c r="AC288" s="9"/>
      <c r="AD288" s="101"/>
      <c r="AE288" s="101"/>
    </row>
    <row r="289" spans="1:31" ht="31.2" hidden="1" customHeight="1" x14ac:dyDescent="0.3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80" t="s">
        <v>206</v>
      </c>
      <c r="S289" s="84" t="s">
        <v>175</v>
      </c>
      <c r="T289" s="3">
        <v>151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6">
        <f t="shared" si="101"/>
        <v>151</v>
      </c>
      <c r="AB289" s="41">
        <v>2018</v>
      </c>
      <c r="AC289" s="9"/>
      <c r="AD289" s="101"/>
      <c r="AE289" s="101"/>
    </row>
    <row r="290" spans="1:31" ht="15.6" hidden="1" customHeight="1" x14ac:dyDescent="0.3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160" t="s">
        <v>207</v>
      </c>
      <c r="S290" s="63" t="s">
        <v>0</v>
      </c>
      <c r="T290" s="1">
        <f>SUM(T291:T293)</f>
        <v>435.8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59">
        <f t="shared" si="101"/>
        <v>435.8</v>
      </c>
      <c r="AB290" s="58">
        <v>2018</v>
      </c>
      <c r="AC290" s="9"/>
      <c r="AD290" s="101"/>
      <c r="AE290" s="101"/>
    </row>
    <row r="291" spans="1:31" ht="15.6" hidden="1" customHeight="1" x14ac:dyDescent="0.3">
      <c r="A291" s="54" t="s">
        <v>18</v>
      </c>
      <c r="B291" s="54" t="s">
        <v>18</v>
      </c>
      <c r="C291" s="54" t="s">
        <v>24</v>
      </c>
      <c r="D291" s="54" t="s">
        <v>18</v>
      </c>
      <c r="E291" s="54" t="s">
        <v>21</v>
      </c>
      <c r="F291" s="54" t="s">
        <v>18</v>
      </c>
      <c r="G291" s="54" t="s">
        <v>22</v>
      </c>
      <c r="H291" s="54" t="s">
        <v>19</v>
      </c>
      <c r="I291" s="54" t="s">
        <v>24</v>
      </c>
      <c r="J291" s="54" t="s">
        <v>18</v>
      </c>
      <c r="K291" s="54" t="s">
        <v>18</v>
      </c>
      <c r="L291" s="54" t="s">
        <v>20</v>
      </c>
      <c r="M291" s="54" t="s">
        <v>19</v>
      </c>
      <c r="N291" s="54" t="s">
        <v>18</v>
      </c>
      <c r="O291" s="54" t="s">
        <v>24</v>
      </c>
      <c r="P291" s="54" t="s">
        <v>22</v>
      </c>
      <c r="Q291" s="54" t="s">
        <v>45</v>
      </c>
      <c r="R291" s="160"/>
      <c r="S291" s="63" t="s">
        <v>0</v>
      </c>
      <c r="T291" s="1">
        <v>174.3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59">
        <f t="shared" si="101"/>
        <v>174.3</v>
      </c>
      <c r="AB291" s="58">
        <v>2018</v>
      </c>
      <c r="AC291" s="9"/>
      <c r="AD291" s="101"/>
      <c r="AE291" s="101"/>
    </row>
    <row r="292" spans="1:31" ht="15.6" hidden="1" customHeight="1" x14ac:dyDescent="0.3">
      <c r="A292" s="54" t="s">
        <v>18</v>
      </c>
      <c r="B292" s="54" t="s">
        <v>18</v>
      </c>
      <c r="C292" s="54" t="s">
        <v>24</v>
      </c>
      <c r="D292" s="54" t="s">
        <v>18</v>
      </c>
      <c r="E292" s="54" t="s">
        <v>21</v>
      </c>
      <c r="F292" s="54" t="s">
        <v>18</v>
      </c>
      <c r="G292" s="54" t="s">
        <v>22</v>
      </c>
      <c r="H292" s="54" t="s">
        <v>19</v>
      </c>
      <c r="I292" s="54" t="s">
        <v>24</v>
      </c>
      <c r="J292" s="54" t="s">
        <v>18</v>
      </c>
      <c r="K292" s="54" t="s">
        <v>18</v>
      </c>
      <c r="L292" s="54" t="s">
        <v>20</v>
      </c>
      <c r="M292" s="54" t="s">
        <v>37</v>
      </c>
      <c r="N292" s="54" t="s">
        <v>18</v>
      </c>
      <c r="O292" s="54" t="s">
        <v>24</v>
      </c>
      <c r="P292" s="54" t="s">
        <v>22</v>
      </c>
      <c r="Q292" s="54" t="s">
        <v>46</v>
      </c>
      <c r="R292" s="160"/>
      <c r="S292" s="63" t="s">
        <v>0</v>
      </c>
      <c r="T292" s="1">
        <v>45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59">
        <f t="shared" si="101"/>
        <v>45</v>
      </c>
      <c r="AB292" s="58">
        <v>2018</v>
      </c>
      <c r="AC292" s="9"/>
      <c r="AD292" s="101"/>
      <c r="AE292" s="101"/>
    </row>
    <row r="293" spans="1:31" ht="15.6" hidden="1" customHeight="1" x14ac:dyDescent="0.3">
      <c r="A293" s="54" t="s">
        <v>18</v>
      </c>
      <c r="B293" s="54" t="s">
        <v>18</v>
      </c>
      <c r="C293" s="54" t="s">
        <v>24</v>
      </c>
      <c r="D293" s="54" t="s">
        <v>18</v>
      </c>
      <c r="E293" s="54" t="s">
        <v>21</v>
      </c>
      <c r="F293" s="54" t="s">
        <v>18</v>
      </c>
      <c r="G293" s="54" t="s">
        <v>22</v>
      </c>
      <c r="H293" s="54" t="s">
        <v>19</v>
      </c>
      <c r="I293" s="54" t="s">
        <v>24</v>
      </c>
      <c r="J293" s="54" t="s">
        <v>18</v>
      </c>
      <c r="K293" s="54" t="s">
        <v>18</v>
      </c>
      <c r="L293" s="54" t="s">
        <v>20</v>
      </c>
      <c r="M293" s="54" t="s">
        <v>37</v>
      </c>
      <c r="N293" s="54" t="s">
        <v>18</v>
      </c>
      <c r="O293" s="54" t="s">
        <v>24</v>
      </c>
      <c r="P293" s="54" t="s">
        <v>22</v>
      </c>
      <c r="Q293" s="54" t="s">
        <v>39</v>
      </c>
      <c r="R293" s="160"/>
      <c r="S293" s="63" t="s">
        <v>0</v>
      </c>
      <c r="T293" s="1">
        <v>216.5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59">
        <f t="shared" si="101"/>
        <v>216.5</v>
      </c>
      <c r="AB293" s="58">
        <v>2018</v>
      </c>
      <c r="AC293" s="9"/>
      <c r="AD293" s="101"/>
      <c r="AE293" s="101"/>
    </row>
    <row r="294" spans="1:31" ht="46.95" hidden="1" customHeight="1" x14ac:dyDescent="0.3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80" t="s">
        <v>208</v>
      </c>
      <c r="S294" s="84" t="s">
        <v>50</v>
      </c>
      <c r="T294" s="44">
        <v>16</v>
      </c>
      <c r="U294" s="44">
        <v>0</v>
      </c>
      <c r="V294" s="44">
        <v>0</v>
      </c>
      <c r="W294" s="44">
        <v>0</v>
      </c>
      <c r="X294" s="44">
        <v>0</v>
      </c>
      <c r="Y294" s="44">
        <v>0</v>
      </c>
      <c r="Z294" s="44">
        <v>0</v>
      </c>
      <c r="AA294" s="49">
        <f t="shared" si="101"/>
        <v>16</v>
      </c>
      <c r="AB294" s="41">
        <v>2018</v>
      </c>
      <c r="AC294" s="9"/>
      <c r="AD294" s="101"/>
      <c r="AE294" s="101"/>
    </row>
    <row r="295" spans="1:31" ht="15.6" hidden="1" customHeight="1" x14ac:dyDescent="0.3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160" t="s">
        <v>209</v>
      </c>
      <c r="S295" s="63" t="s">
        <v>0</v>
      </c>
      <c r="T295" s="1">
        <f>SUM(T296:T298)</f>
        <v>349.1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59">
        <f t="shared" si="101"/>
        <v>349.1</v>
      </c>
      <c r="AB295" s="58">
        <v>2018</v>
      </c>
      <c r="AC295" s="9"/>
      <c r="AD295" s="101"/>
      <c r="AE295" s="101"/>
    </row>
    <row r="296" spans="1:31" ht="15.6" hidden="1" customHeight="1" x14ac:dyDescent="0.3">
      <c r="A296" s="54" t="s">
        <v>18</v>
      </c>
      <c r="B296" s="54" t="s">
        <v>18</v>
      </c>
      <c r="C296" s="54" t="s">
        <v>24</v>
      </c>
      <c r="D296" s="54" t="s">
        <v>18</v>
      </c>
      <c r="E296" s="54" t="s">
        <v>21</v>
      </c>
      <c r="F296" s="54" t="s">
        <v>18</v>
      </c>
      <c r="G296" s="54" t="s">
        <v>22</v>
      </c>
      <c r="H296" s="54" t="s">
        <v>19</v>
      </c>
      <c r="I296" s="54" t="s">
        <v>24</v>
      </c>
      <c r="J296" s="54" t="s">
        <v>18</v>
      </c>
      <c r="K296" s="54" t="s">
        <v>18</v>
      </c>
      <c r="L296" s="54" t="s">
        <v>20</v>
      </c>
      <c r="M296" s="54" t="s">
        <v>19</v>
      </c>
      <c r="N296" s="54" t="s">
        <v>18</v>
      </c>
      <c r="O296" s="54" t="s">
        <v>24</v>
      </c>
      <c r="P296" s="54" t="s">
        <v>22</v>
      </c>
      <c r="Q296" s="54" t="s">
        <v>45</v>
      </c>
      <c r="R296" s="160"/>
      <c r="S296" s="63" t="s">
        <v>0</v>
      </c>
      <c r="T296" s="1">
        <v>139.6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59">
        <f t="shared" si="101"/>
        <v>139.6</v>
      </c>
      <c r="AB296" s="58">
        <v>2018</v>
      </c>
      <c r="AC296" s="9"/>
      <c r="AD296" s="101"/>
      <c r="AE296" s="101"/>
    </row>
    <row r="297" spans="1:31" ht="15.6" hidden="1" customHeight="1" x14ac:dyDescent="0.3">
      <c r="A297" s="54" t="s">
        <v>18</v>
      </c>
      <c r="B297" s="54" t="s">
        <v>18</v>
      </c>
      <c r="C297" s="54" t="s">
        <v>24</v>
      </c>
      <c r="D297" s="54" t="s">
        <v>18</v>
      </c>
      <c r="E297" s="54" t="s">
        <v>21</v>
      </c>
      <c r="F297" s="54" t="s">
        <v>18</v>
      </c>
      <c r="G297" s="54" t="s">
        <v>22</v>
      </c>
      <c r="H297" s="54" t="s">
        <v>19</v>
      </c>
      <c r="I297" s="54" t="s">
        <v>24</v>
      </c>
      <c r="J297" s="54" t="s">
        <v>18</v>
      </c>
      <c r="K297" s="54" t="s">
        <v>18</v>
      </c>
      <c r="L297" s="54" t="s">
        <v>20</v>
      </c>
      <c r="M297" s="54" t="s">
        <v>37</v>
      </c>
      <c r="N297" s="54" t="s">
        <v>18</v>
      </c>
      <c r="O297" s="54" t="s">
        <v>24</v>
      </c>
      <c r="P297" s="54" t="s">
        <v>22</v>
      </c>
      <c r="Q297" s="54" t="s">
        <v>46</v>
      </c>
      <c r="R297" s="160"/>
      <c r="S297" s="63" t="s">
        <v>0</v>
      </c>
      <c r="T297" s="1">
        <v>34.9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59">
        <f t="shared" si="101"/>
        <v>34.9</v>
      </c>
      <c r="AB297" s="58">
        <v>2018</v>
      </c>
      <c r="AC297" s="9"/>
      <c r="AD297" s="101"/>
      <c r="AE297" s="101"/>
    </row>
    <row r="298" spans="1:31" ht="15.6" hidden="1" customHeight="1" x14ac:dyDescent="0.3">
      <c r="A298" s="54" t="s">
        <v>18</v>
      </c>
      <c r="B298" s="54" t="s">
        <v>18</v>
      </c>
      <c r="C298" s="54" t="s">
        <v>24</v>
      </c>
      <c r="D298" s="54" t="s">
        <v>18</v>
      </c>
      <c r="E298" s="54" t="s">
        <v>21</v>
      </c>
      <c r="F298" s="54" t="s">
        <v>18</v>
      </c>
      <c r="G298" s="54" t="s">
        <v>22</v>
      </c>
      <c r="H298" s="54" t="s">
        <v>19</v>
      </c>
      <c r="I298" s="54" t="s">
        <v>24</v>
      </c>
      <c r="J298" s="54" t="s">
        <v>18</v>
      </c>
      <c r="K298" s="54" t="s">
        <v>18</v>
      </c>
      <c r="L298" s="54" t="s">
        <v>20</v>
      </c>
      <c r="M298" s="54" t="s">
        <v>37</v>
      </c>
      <c r="N298" s="54" t="s">
        <v>18</v>
      </c>
      <c r="O298" s="54" t="s">
        <v>24</v>
      </c>
      <c r="P298" s="54" t="s">
        <v>22</v>
      </c>
      <c r="Q298" s="54" t="s">
        <v>39</v>
      </c>
      <c r="R298" s="160"/>
      <c r="S298" s="63" t="s">
        <v>0</v>
      </c>
      <c r="T298" s="1">
        <v>174.6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59">
        <f t="shared" si="101"/>
        <v>174.6</v>
      </c>
      <c r="AB298" s="58">
        <v>2018</v>
      </c>
      <c r="AC298" s="9"/>
      <c r="AD298" s="101"/>
      <c r="AE298" s="101"/>
    </row>
    <row r="299" spans="1:31" ht="30.6" hidden="1" customHeight="1" x14ac:dyDescent="0.3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80" t="s">
        <v>210</v>
      </c>
      <c r="S299" s="84" t="s">
        <v>176</v>
      </c>
      <c r="T299" s="3">
        <v>49.7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6">
        <f t="shared" si="101"/>
        <v>49.7</v>
      </c>
      <c r="AB299" s="41">
        <v>2018</v>
      </c>
      <c r="AC299" s="9"/>
      <c r="AD299" s="101"/>
      <c r="AE299" s="101"/>
    </row>
    <row r="300" spans="1:31" ht="15.6" hidden="1" customHeight="1" x14ac:dyDescent="0.3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160" t="s">
        <v>211</v>
      </c>
      <c r="S300" s="63" t="s">
        <v>0</v>
      </c>
      <c r="T300" s="1">
        <f>SUM(T301:T303)</f>
        <v>508.5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59">
        <f t="shared" si="101"/>
        <v>508.5</v>
      </c>
      <c r="AB300" s="58">
        <v>2018</v>
      </c>
      <c r="AC300" s="9"/>
      <c r="AD300" s="101"/>
      <c r="AE300" s="101"/>
    </row>
    <row r="301" spans="1:31" ht="15.6" hidden="1" customHeight="1" x14ac:dyDescent="0.3">
      <c r="A301" s="54" t="s">
        <v>18</v>
      </c>
      <c r="B301" s="54" t="s">
        <v>18</v>
      </c>
      <c r="C301" s="54" t="s">
        <v>24</v>
      </c>
      <c r="D301" s="54" t="s">
        <v>18</v>
      </c>
      <c r="E301" s="54" t="s">
        <v>21</v>
      </c>
      <c r="F301" s="54" t="s">
        <v>18</v>
      </c>
      <c r="G301" s="54" t="s">
        <v>22</v>
      </c>
      <c r="H301" s="54" t="s">
        <v>19</v>
      </c>
      <c r="I301" s="54" t="s">
        <v>24</v>
      </c>
      <c r="J301" s="54" t="s">
        <v>18</v>
      </c>
      <c r="K301" s="54" t="s">
        <v>18</v>
      </c>
      <c r="L301" s="54" t="s">
        <v>20</v>
      </c>
      <c r="M301" s="54" t="s">
        <v>19</v>
      </c>
      <c r="N301" s="54" t="s">
        <v>18</v>
      </c>
      <c r="O301" s="54" t="s">
        <v>24</v>
      </c>
      <c r="P301" s="54" t="s">
        <v>22</v>
      </c>
      <c r="Q301" s="54" t="s">
        <v>45</v>
      </c>
      <c r="R301" s="160"/>
      <c r="S301" s="63" t="s">
        <v>0</v>
      </c>
      <c r="T301" s="1">
        <v>203.4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59">
        <f t="shared" si="101"/>
        <v>203.4</v>
      </c>
      <c r="AB301" s="58">
        <v>2018</v>
      </c>
      <c r="AC301" s="9"/>
      <c r="AD301" s="101"/>
      <c r="AE301" s="101"/>
    </row>
    <row r="302" spans="1:31" ht="15.6" hidden="1" customHeight="1" x14ac:dyDescent="0.3">
      <c r="A302" s="54" t="s">
        <v>18</v>
      </c>
      <c r="B302" s="54" t="s">
        <v>18</v>
      </c>
      <c r="C302" s="54" t="s">
        <v>24</v>
      </c>
      <c r="D302" s="54" t="s">
        <v>18</v>
      </c>
      <c r="E302" s="54" t="s">
        <v>21</v>
      </c>
      <c r="F302" s="54" t="s">
        <v>18</v>
      </c>
      <c r="G302" s="54" t="s">
        <v>22</v>
      </c>
      <c r="H302" s="54" t="s">
        <v>19</v>
      </c>
      <c r="I302" s="54" t="s">
        <v>24</v>
      </c>
      <c r="J302" s="54" t="s">
        <v>18</v>
      </c>
      <c r="K302" s="54" t="s">
        <v>18</v>
      </c>
      <c r="L302" s="54" t="s">
        <v>20</v>
      </c>
      <c r="M302" s="54" t="s">
        <v>37</v>
      </c>
      <c r="N302" s="54" t="s">
        <v>18</v>
      </c>
      <c r="O302" s="54" t="s">
        <v>24</v>
      </c>
      <c r="P302" s="54" t="s">
        <v>22</v>
      </c>
      <c r="Q302" s="54" t="s">
        <v>46</v>
      </c>
      <c r="R302" s="160"/>
      <c r="S302" s="63" t="s">
        <v>0</v>
      </c>
      <c r="T302" s="1">
        <v>50.9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59">
        <f t="shared" si="101"/>
        <v>50.9</v>
      </c>
      <c r="AB302" s="58">
        <v>2018</v>
      </c>
      <c r="AC302" s="9"/>
      <c r="AD302" s="101"/>
      <c r="AE302" s="101"/>
    </row>
    <row r="303" spans="1:31" ht="15.6" hidden="1" customHeight="1" x14ac:dyDescent="0.3">
      <c r="A303" s="54" t="s">
        <v>18</v>
      </c>
      <c r="B303" s="54" t="s">
        <v>18</v>
      </c>
      <c r="C303" s="54" t="s">
        <v>24</v>
      </c>
      <c r="D303" s="54" t="s">
        <v>18</v>
      </c>
      <c r="E303" s="54" t="s">
        <v>21</v>
      </c>
      <c r="F303" s="54" t="s">
        <v>18</v>
      </c>
      <c r="G303" s="54" t="s">
        <v>22</v>
      </c>
      <c r="H303" s="54" t="s">
        <v>19</v>
      </c>
      <c r="I303" s="54" t="s">
        <v>24</v>
      </c>
      <c r="J303" s="54" t="s">
        <v>18</v>
      </c>
      <c r="K303" s="54" t="s">
        <v>18</v>
      </c>
      <c r="L303" s="54" t="s">
        <v>20</v>
      </c>
      <c r="M303" s="54" t="s">
        <v>37</v>
      </c>
      <c r="N303" s="54" t="s">
        <v>18</v>
      </c>
      <c r="O303" s="54" t="s">
        <v>24</v>
      </c>
      <c r="P303" s="54" t="s">
        <v>22</v>
      </c>
      <c r="Q303" s="54" t="s">
        <v>39</v>
      </c>
      <c r="R303" s="160"/>
      <c r="S303" s="63" t="s">
        <v>0</v>
      </c>
      <c r="T303" s="1">
        <v>254.2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59">
        <f t="shared" si="101"/>
        <v>254.2</v>
      </c>
      <c r="AB303" s="58">
        <v>2018</v>
      </c>
      <c r="AC303" s="9"/>
      <c r="AD303" s="101"/>
      <c r="AE303" s="101"/>
    </row>
    <row r="304" spans="1:31" ht="31.2" hidden="1" customHeight="1" x14ac:dyDescent="0.3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80" t="s">
        <v>212</v>
      </c>
      <c r="S304" s="84" t="s">
        <v>176</v>
      </c>
      <c r="T304" s="3">
        <v>88.3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6">
        <f t="shared" si="101"/>
        <v>88.3</v>
      </c>
      <c r="AB304" s="41">
        <v>2018</v>
      </c>
      <c r="AC304" s="9"/>
      <c r="AD304" s="101"/>
      <c r="AE304" s="101"/>
    </row>
    <row r="305" spans="1:31" ht="15.6" customHeight="1" x14ac:dyDescent="0.3">
      <c r="A305" s="54" t="s">
        <v>18</v>
      </c>
      <c r="B305" s="54" t="s">
        <v>18</v>
      </c>
      <c r="C305" s="54" t="s">
        <v>21</v>
      </c>
      <c r="D305" s="54" t="s">
        <v>18</v>
      </c>
      <c r="E305" s="54" t="s">
        <v>18</v>
      </c>
      <c r="F305" s="54" t="s">
        <v>18</v>
      </c>
      <c r="G305" s="54" t="s">
        <v>18</v>
      </c>
      <c r="H305" s="54" t="s">
        <v>19</v>
      </c>
      <c r="I305" s="54" t="s">
        <v>24</v>
      </c>
      <c r="J305" s="54" t="s">
        <v>18</v>
      </c>
      <c r="K305" s="54" t="s">
        <v>18</v>
      </c>
      <c r="L305" s="54" t="s">
        <v>20</v>
      </c>
      <c r="M305" s="54" t="s">
        <v>18</v>
      </c>
      <c r="N305" s="54" t="s">
        <v>18</v>
      </c>
      <c r="O305" s="54" t="s">
        <v>18</v>
      </c>
      <c r="P305" s="54" t="s">
        <v>18</v>
      </c>
      <c r="Q305" s="54" t="s">
        <v>18</v>
      </c>
      <c r="R305" s="160" t="s">
        <v>140</v>
      </c>
      <c r="S305" s="63" t="s">
        <v>0</v>
      </c>
      <c r="T305" s="59">
        <f>SUM(T306:T309)</f>
        <v>8990.0999999999985</v>
      </c>
      <c r="U305" s="59">
        <f>SUM(U306:U312)</f>
        <v>8489.7000000000007</v>
      </c>
      <c r="V305" s="59">
        <v>0</v>
      </c>
      <c r="W305" s="59">
        <v>0</v>
      </c>
      <c r="X305" s="59">
        <v>0</v>
      </c>
      <c r="Y305" s="59">
        <v>0</v>
      </c>
      <c r="Z305" s="59">
        <v>0</v>
      </c>
      <c r="AA305" s="59">
        <f t="shared" si="101"/>
        <v>17479.8</v>
      </c>
      <c r="AB305" s="58">
        <v>2019</v>
      </c>
      <c r="AC305" s="124"/>
      <c r="AD305" s="101"/>
      <c r="AE305" s="101"/>
    </row>
    <row r="306" spans="1:31" x14ac:dyDescent="0.3">
      <c r="A306" s="54" t="s">
        <v>18</v>
      </c>
      <c r="B306" s="54" t="s">
        <v>18</v>
      </c>
      <c r="C306" s="54" t="s">
        <v>21</v>
      </c>
      <c r="D306" s="54" t="s">
        <v>18</v>
      </c>
      <c r="E306" s="54" t="s">
        <v>18</v>
      </c>
      <c r="F306" s="54" t="s">
        <v>18</v>
      </c>
      <c r="G306" s="54" t="s">
        <v>18</v>
      </c>
      <c r="H306" s="54" t="s">
        <v>19</v>
      </c>
      <c r="I306" s="54" t="s">
        <v>24</v>
      </c>
      <c r="J306" s="54" t="s">
        <v>18</v>
      </c>
      <c r="K306" s="54" t="s">
        <v>18</v>
      </c>
      <c r="L306" s="54" t="s">
        <v>20</v>
      </c>
      <c r="M306" s="54" t="s">
        <v>19</v>
      </c>
      <c r="N306" s="54" t="s">
        <v>18</v>
      </c>
      <c r="O306" s="54" t="s">
        <v>24</v>
      </c>
      <c r="P306" s="54" t="s">
        <v>22</v>
      </c>
      <c r="Q306" s="54" t="s">
        <v>45</v>
      </c>
      <c r="R306" s="160"/>
      <c r="S306" s="63" t="s">
        <v>0</v>
      </c>
      <c r="T306" s="1">
        <f>T316+T322+T329+T336+T343+T350+T357+T364+T371+T378+T384+T390</f>
        <v>3538.9999999999995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59">
        <f t="shared" si="101"/>
        <v>3538.9999999999995</v>
      </c>
      <c r="AB306" s="58">
        <v>2018</v>
      </c>
      <c r="AC306" s="124"/>
      <c r="AD306" s="101"/>
      <c r="AE306" s="101"/>
    </row>
    <row r="307" spans="1:31" x14ac:dyDescent="0.3">
      <c r="A307" s="54" t="s">
        <v>18</v>
      </c>
      <c r="B307" s="54" t="s">
        <v>18</v>
      </c>
      <c r="C307" s="54" t="s">
        <v>21</v>
      </c>
      <c r="D307" s="54" t="s">
        <v>18</v>
      </c>
      <c r="E307" s="54" t="s">
        <v>18</v>
      </c>
      <c r="F307" s="54" t="s">
        <v>18</v>
      </c>
      <c r="G307" s="54" t="s">
        <v>18</v>
      </c>
      <c r="H307" s="54" t="s">
        <v>19</v>
      </c>
      <c r="I307" s="54" t="s">
        <v>24</v>
      </c>
      <c r="J307" s="54" t="s">
        <v>18</v>
      </c>
      <c r="K307" s="54" t="s">
        <v>18</v>
      </c>
      <c r="L307" s="54" t="s">
        <v>20</v>
      </c>
      <c r="M307" s="54" t="s">
        <v>19</v>
      </c>
      <c r="N307" s="54" t="s">
        <v>18</v>
      </c>
      <c r="O307" s="54" t="s">
        <v>43</v>
      </c>
      <c r="P307" s="54" t="s">
        <v>22</v>
      </c>
      <c r="Q307" s="54" t="s">
        <v>178</v>
      </c>
      <c r="R307" s="160"/>
      <c r="S307" s="63" t="s">
        <v>0</v>
      </c>
      <c r="T307" s="1">
        <v>339.9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59">
        <f t="shared" si="101"/>
        <v>339.9</v>
      </c>
      <c r="AB307" s="58">
        <v>2018</v>
      </c>
      <c r="AC307" s="124"/>
      <c r="AD307" s="101"/>
      <c r="AE307" s="101"/>
    </row>
    <row r="308" spans="1:31" x14ac:dyDescent="0.3">
      <c r="A308" s="54" t="s">
        <v>18</v>
      </c>
      <c r="B308" s="54" t="s">
        <v>18</v>
      </c>
      <c r="C308" s="54" t="s">
        <v>21</v>
      </c>
      <c r="D308" s="54" t="s">
        <v>18</v>
      </c>
      <c r="E308" s="54" t="s">
        <v>18</v>
      </c>
      <c r="F308" s="54" t="s">
        <v>18</v>
      </c>
      <c r="G308" s="54" t="s">
        <v>18</v>
      </c>
      <c r="H308" s="54" t="s">
        <v>19</v>
      </c>
      <c r="I308" s="54" t="s">
        <v>24</v>
      </c>
      <c r="J308" s="54" t="s">
        <v>18</v>
      </c>
      <c r="K308" s="54" t="s">
        <v>18</v>
      </c>
      <c r="L308" s="54" t="s">
        <v>20</v>
      </c>
      <c r="M308" s="54" t="s">
        <v>37</v>
      </c>
      <c r="N308" s="54" t="s">
        <v>18</v>
      </c>
      <c r="O308" s="54" t="s">
        <v>24</v>
      </c>
      <c r="P308" s="54" t="s">
        <v>22</v>
      </c>
      <c r="Q308" s="54" t="s">
        <v>46</v>
      </c>
      <c r="R308" s="160"/>
      <c r="S308" s="63" t="s">
        <v>0</v>
      </c>
      <c r="T308" s="1">
        <f>T317+T318+T324+T325+T331+T332+T338+T339+T345+T346+T352+T353+T359+T360+T366+T367+T373+T374+T380+T386+T393+T392</f>
        <v>1913.5</v>
      </c>
      <c r="U308" s="1">
        <v>1308.8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59">
        <f t="shared" si="101"/>
        <v>3222.3</v>
      </c>
      <c r="AB308" s="58">
        <v>2019</v>
      </c>
      <c r="AC308" s="124"/>
      <c r="AD308" s="101"/>
      <c r="AE308" s="101"/>
    </row>
    <row r="309" spans="1:31" x14ac:dyDescent="0.3">
      <c r="A309" s="54" t="s">
        <v>18</v>
      </c>
      <c r="B309" s="54" t="s">
        <v>18</v>
      </c>
      <c r="C309" s="54" t="s">
        <v>21</v>
      </c>
      <c r="D309" s="54" t="s">
        <v>18</v>
      </c>
      <c r="E309" s="54" t="s">
        <v>18</v>
      </c>
      <c r="F309" s="54" t="s">
        <v>18</v>
      </c>
      <c r="G309" s="54" t="s">
        <v>18</v>
      </c>
      <c r="H309" s="54" t="s">
        <v>19</v>
      </c>
      <c r="I309" s="54" t="s">
        <v>24</v>
      </c>
      <c r="J309" s="54" t="s">
        <v>18</v>
      </c>
      <c r="K309" s="54" t="s">
        <v>18</v>
      </c>
      <c r="L309" s="54" t="s">
        <v>20</v>
      </c>
      <c r="M309" s="54" t="s">
        <v>37</v>
      </c>
      <c r="N309" s="54" t="s">
        <v>18</v>
      </c>
      <c r="O309" s="54" t="s">
        <v>24</v>
      </c>
      <c r="P309" s="54" t="s">
        <v>22</v>
      </c>
      <c r="Q309" s="54" t="s">
        <v>39</v>
      </c>
      <c r="R309" s="160"/>
      <c r="S309" s="63" t="s">
        <v>0</v>
      </c>
      <c r="T309" s="1">
        <v>3197.7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59">
        <f t="shared" si="101"/>
        <v>3197.7</v>
      </c>
      <c r="AB309" s="58">
        <v>2018</v>
      </c>
      <c r="AC309" s="124"/>
      <c r="AD309" s="101"/>
      <c r="AE309" s="101"/>
    </row>
    <row r="310" spans="1:31" x14ac:dyDescent="0.3">
      <c r="A310" s="54" t="s">
        <v>18</v>
      </c>
      <c r="B310" s="54" t="s">
        <v>18</v>
      </c>
      <c r="C310" s="54" t="s">
        <v>21</v>
      </c>
      <c r="D310" s="54" t="s">
        <v>18</v>
      </c>
      <c r="E310" s="54" t="s">
        <v>18</v>
      </c>
      <c r="F310" s="54" t="s">
        <v>18</v>
      </c>
      <c r="G310" s="54" t="s">
        <v>18</v>
      </c>
      <c r="H310" s="54" t="s">
        <v>19</v>
      </c>
      <c r="I310" s="54" t="s">
        <v>24</v>
      </c>
      <c r="J310" s="54" t="s">
        <v>18</v>
      </c>
      <c r="K310" s="54" t="s">
        <v>18</v>
      </c>
      <c r="L310" s="54" t="s">
        <v>20</v>
      </c>
      <c r="M310" s="54" t="s">
        <v>19</v>
      </c>
      <c r="N310" s="54" t="s">
        <v>18</v>
      </c>
      <c r="O310" s="54" t="s">
        <v>24</v>
      </c>
      <c r="P310" s="54" t="s">
        <v>22</v>
      </c>
      <c r="Q310" s="54" t="s">
        <v>18</v>
      </c>
      <c r="R310" s="160"/>
      <c r="S310" s="63" t="s">
        <v>0</v>
      </c>
      <c r="T310" s="1">
        <v>0</v>
      </c>
      <c r="U310" s="1">
        <f>4114.8-123.3</f>
        <v>3991.5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59">
        <f t="shared" si="101"/>
        <v>3991.5</v>
      </c>
      <c r="AB310" s="58">
        <v>2019</v>
      </c>
      <c r="AC310" s="124"/>
      <c r="AD310" s="101"/>
      <c r="AE310" s="101"/>
    </row>
    <row r="311" spans="1:31" x14ac:dyDescent="0.3">
      <c r="A311" s="54" t="s">
        <v>18</v>
      </c>
      <c r="B311" s="54" t="s">
        <v>18</v>
      </c>
      <c r="C311" s="54" t="s">
        <v>21</v>
      </c>
      <c r="D311" s="54" t="s">
        <v>18</v>
      </c>
      <c r="E311" s="54" t="s">
        <v>18</v>
      </c>
      <c r="F311" s="54" t="s">
        <v>18</v>
      </c>
      <c r="G311" s="54" t="s">
        <v>18</v>
      </c>
      <c r="H311" s="54" t="s">
        <v>19</v>
      </c>
      <c r="I311" s="54" t="s">
        <v>24</v>
      </c>
      <c r="J311" s="54" t="s">
        <v>18</v>
      </c>
      <c r="K311" s="54" t="s">
        <v>18</v>
      </c>
      <c r="L311" s="54" t="s">
        <v>20</v>
      </c>
      <c r="M311" s="54" t="s">
        <v>37</v>
      </c>
      <c r="N311" s="54" t="s">
        <v>18</v>
      </c>
      <c r="O311" s="54" t="s">
        <v>24</v>
      </c>
      <c r="P311" s="54" t="s">
        <v>22</v>
      </c>
      <c r="Q311" s="54" t="s">
        <v>18</v>
      </c>
      <c r="R311" s="160"/>
      <c r="S311" s="63" t="s">
        <v>0</v>
      </c>
      <c r="T311" s="1">
        <v>0</v>
      </c>
      <c r="U311" s="1">
        <f>3035.2-53.3</f>
        <v>2981.8999999999996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59">
        <f t="shared" ref="AA311" si="102">SUM(T311:Y311)</f>
        <v>2981.8999999999996</v>
      </c>
      <c r="AB311" s="58">
        <v>2019</v>
      </c>
      <c r="AC311" s="124"/>
      <c r="AD311" s="101"/>
      <c r="AE311" s="101"/>
    </row>
    <row r="312" spans="1:31" x14ac:dyDescent="0.3">
      <c r="A312" s="54" t="s">
        <v>18</v>
      </c>
      <c r="B312" s="54" t="s">
        <v>18</v>
      </c>
      <c r="C312" s="54" t="s">
        <v>21</v>
      </c>
      <c r="D312" s="54" t="s">
        <v>18</v>
      </c>
      <c r="E312" s="54" t="s">
        <v>18</v>
      </c>
      <c r="F312" s="54" t="s">
        <v>18</v>
      </c>
      <c r="G312" s="54" t="s">
        <v>18</v>
      </c>
      <c r="H312" s="54" t="s">
        <v>19</v>
      </c>
      <c r="I312" s="54" t="s">
        <v>24</v>
      </c>
      <c r="J312" s="54" t="s">
        <v>18</v>
      </c>
      <c r="K312" s="54" t="s">
        <v>18</v>
      </c>
      <c r="L312" s="54" t="s">
        <v>20</v>
      </c>
      <c r="M312" s="54" t="s">
        <v>19</v>
      </c>
      <c r="N312" s="54" t="s">
        <v>18</v>
      </c>
      <c r="O312" s="54" t="s">
        <v>43</v>
      </c>
      <c r="P312" s="54" t="s">
        <v>22</v>
      </c>
      <c r="Q312" s="54" t="s">
        <v>18</v>
      </c>
      <c r="R312" s="160"/>
      <c r="S312" s="63" t="s">
        <v>0</v>
      </c>
      <c r="T312" s="1">
        <v>0</v>
      </c>
      <c r="U312" s="1">
        <f>215-7.5</f>
        <v>207.5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59">
        <f t="shared" ref="AA312" si="103">SUM(T312:Y312)</f>
        <v>207.5</v>
      </c>
      <c r="AB312" s="58">
        <v>2019</v>
      </c>
      <c r="AC312" s="124"/>
      <c r="AD312" s="101"/>
      <c r="AE312" s="101"/>
    </row>
    <row r="313" spans="1:31" ht="49.95" customHeight="1" x14ac:dyDescent="0.3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80" t="s">
        <v>312</v>
      </c>
      <c r="S313" s="62" t="s">
        <v>52</v>
      </c>
      <c r="T313" s="3">
        <v>2.7</v>
      </c>
      <c r="U313" s="3">
        <v>1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6">
        <f t="shared" si="101"/>
        <v>3.7</v>
      </c>
      <c r="AB313" s="41">
        <v>2019</v>
      </c>
      <c r="AC313" s="9"/>
      <c r="AD313" s="101"/>
      <c r="AE313" s="101"/>
    </row>
    <row r="314" spans="1:31" ht="49.2" customHeight="1" x14ac:dyDescent="0.3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80" t="s">
        <v>313</v>
      </c>
      <c r="S314" s="84" t="s">
        <v>50</v>
      </c>
      <c r="T314" s="44">
        <v>11</v>
      </c>
      <c r="U314" s="44">
        <v>6</v>
      </c>
      <c r="V314" s="44">
        <v>0</v>
      </c>
      <c r="W314" s="44">
        <v>0</v>
      </c>
      <c r="X314" s="44">
        <v>0</v>
      </c>
      <c r="Y314" s="44">
        <v>0</v>
      </c>
      <c r="Z314" s="44">
        <v>0</v>
      </c>
      <c r="AA314" s="49">
        <f t="shared" si="101"/>
        <v>17</v>
      </c>
      <c r="AB314" s="41">
        <v>2019</v>
      </c>
      <c r="AC314" s="9"/>
      <c r="AD314" s="101"/>
      <c r="AE314" s="101"/>
    </row>
    <row r="315" spans="1:31" ht="15.6" hidden="1" customHeight="1" x14ac:dyDescent="0.3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160" t="s">
        <v>213</v>
      </c>
      <c r="S315" s="63" t="s">
        <v>0</v>
      </c>
      <c r="T315" s="1">
        <f>SUM(T316:T319)</f>
        <v>1027.7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59">
        <f t="shared" si="98"/>
        <v>1027.7</v>
      </c>
      <c r="AB315" s="58">
        <v>2018</v>
      </c>
      <c r="AC315" s="9"/>
      <c r="AD315" s="101"/>
      <c r="AE315" s="101"/>
    </row>
    <row r="316" spans="1:31" ht="15.6" hidden="1" customHeight="1" x14ac:dyDescent="0.3">
      <c r="A316" s="54" t="s">
        <v>18</v>
      </c>
      <c r="B316" s="54" t="s">
        <v>18</v>
      </c>
      <c r="C316" s="54" t="s">
        <v>21</v>
      </c>
      <c r="D316" s="54" t="s">
        <v>18</v>
      </c>
      <c r="E316" s="54" t="s">
        <v>21</v>
      </c>
      <c r="F316" s="54" t="s">
        <v>18</v>
      </c>
      <c r="G316" s="54" t="s">
        <v>22</v>
      </c>
      <c r="H316" s="54" t="s">
        <v>19</v>
      </c>
      <c r="I316" s="54" t="s">
        <v>24</v>
      </c>
      <c r="J316" s="54" t="s">
        <v>18</v>
      </c>
      <c r="K316" s="54" t="s">
        <v>18</v>
      </c>
      <c r="L316" s="54" t="s">
        <v>20</v>
      </c>
      <c r="M316" s="54" t="s">
        <v>19</v>
      </c>
      <c r="N316" s="54" t="s">
        <v>18</v>
      </c>
      <c r="O316" s="54" t="s">
        <v>24</v>
      </c>
      <c r="P316" s="54" t="s">
        <v>22</v>
      </c>
      <c r="Q316" s="54" t="s">
        <v>45</v>
      </c>
      <c r="R316" s="160"/>
      <c r="S316" s="63" t="s">
        <v>0</v>
      </c>
      <c r="T316" s="1">
        <v>400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59">
        <f t="shared" si="98"/>
        <v>400</v>
      </c>
      <c r="AB316" s="58">
        <v>2018</v>
      </c>
      <c r="AC316" s="9"/>
      <c r="AD316" s="101"/>
      <c r="AE316" s="101"/>
    </row>
    <row r="317" spans="1:31" ht="15.6" hidden="1" customHeight="1" x14ac:dyDescent="0.3">
      <c r="A317" s="54" t="s">
        <v>18</v>
      </c>
      <c r="B317" s="54" t="s">
        <v>18</v>
      </c>
      <c r="C317" s="54" t="s">
        <v>21</v>
      </c>
      <c r="D317" s="54" t="s">
        <v>18</v>
      </c>
      <c r="E317" s="54" t="s">
        <v>21</v>
      </c>
      <c r="F317" s="54" t="s">
        <v>18</v>
      </c>
      <c r="G317" s="54" t="s">
        <v>22</v>
      </c>
      <c r="H317" s="54" t="s">
        <v>19</v>
      </c>
      <c r="I317" s="54" t="s">
        <v>24</v>
      </c>
      <c r="J317" s="54" t="s">
        <v>18</v>
      </c>
      <c r="K317" s="54" t="s">
        <v>18</v>
      </c>
      <c r="L317" s="54" t="s">
        <v>20</v>
      </c>
      <c r="M317" s="54" t="s">
        <v>37</v>
      </c>
      <c r="N317" s="54" t="s">
        <v>18</v>
      </c>
      <c r="O317" s="54" t="s">
        <v>24</v>
      </c>
      <c r="P317" s="54" t="s">
        <v>22</v>
      </c>
      <c r="Q317" s="54" t="s">
        <v>46</v>
      </c>
      <c r="R317" s="160"/>
      <c r="S317" s="63" t="s">
        <v>0</v>
      </c>
      <c r="T317" s="1">
        <v>14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59">
        <f t="shared" si="98"/>
        <v>14</v>
      </c>
      <c r="AB317" s="58">
        <v>2018</v>
      </c>
      <c r="AC317" s="9"/>
      <c r="AD317" s="101"/>
      <c r="AE317" s="101"/>
    </row>
    <row r="318" spans="1:31" ht="15.6" hidden="1" customHeight="1" x14ac:dyDescent="0.3">
      <c r="A318" s="54" t="s">
        <v>18</v>
      </c>
      <c r="B318" s="54" t="s">
        <v>18</v>
      </c>
      <c r="C318" s="54" t="s">
        <v>21</v>
      </c>
      <c r="D318" s="54" t="s">
        <v>18</v>
      </c>
      <c r="E318" s="54" t="s">
        <v>21</v>
      </c>
      <c r="F318" s="54" t="s">
        <v>18</v>
      </c>
      <c r="G318" s="54" t="s">
        <v>22</v>
      </c>
      <c r="H318" s="54" t="s">
        <v>19</v>
      </c>
      <c r="I318" s="54" t="s">
        <v>24</v>
      </c>
      <c r="J318" s="54" t="s">
        <v>18</v>
      </c>
      <c r="K318" s="54" t="s">
        <v>18</v>
      </c>
      <c r="L318" s="54" t="s">
        <v>20</v>
      </c>
      <c r="M318" s="54" t="s">
        <v>37</v>
      </c>
      <c r="N318" s="54" t="s">
        <v>18</v>
      </c>
      <c r="O318" s="54" t="s">
        <v>24</v>
      </c>
      <c r="P318" s="54" t="s">
        <v>22</v>
      </c>
      <c r="Q318" s="54" t="s">
        <v>46</v>
      </c>
      <c r="R318" s="160"/>
      <c r="S318" s="63" t="s">
        <v>0</v>
      </c>
      <c r="T318" s="1">
        <v>157.4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59">
        <f t="shared" si="98"/>
        <v>157.4</v>
      </c>
      <c r="AB318" s="58">
        <v>2018</v>
      </c>
      <c r="AC318" s="9"/>
      <c r="AD318" s="101"/>
      <c r="AE318" s="101"/>
    </row>
    <row r="319" spans="1:31" ht="15.6" hidden="1" customHeight="1" x14ac:dyDescent="0.3">
      <c r="A319" s="54" t="s">
        <v>18</v>
      </c>
      <c r="B319" s="54" t="s">
        <v>18</v>
      </c>
      <c r="C319" s="54" t="s">
        <v>21</v>
      </c>
      <c r="D319" s="54" t="s">
        <v>18</v>
      </c>
      <c r="E319" s="54" t="s">
        <v>21</v>
      </c>
      <c r="F319" s="54" t="s">
        <v>18</v>
      </c>
      <c r="G319" s="54" t="s">
        <v>22</v>
      </c>
      <c r="H319" s="54" t="s">
        <v>19</v>
      </c>
      <c r="I319" s="54" t="s">
        <v>24</v>
      </c>
      <c r="J319" s="54" t="s">
        <v>18</v>
      </c>
      <c r="K319" s="54" t="s">
        <v>18</v>
      </c>
      <c r="L319" s="54" t="s">
        <v>20</v>
      </c>
      <c r="M319" s="54" t="s">
        <v>37</v>
      </c>
      <c r="N319" s="54" t="s">
        <v>18</v>
      </c>
      <c r="O319" s="54" t="s">
        <v>24</v>
      </c>
      <c r="P319" s="54" t="s">
        <v>22</v>
      </c>
      <c r="Q319" s="54" t="s">
        <v>39</v>
      </c>
      <c r="R319" s="160"/>
      <c r="S319" s="63" t="s">
        <v>0</v>
      </c>
      <c r="T319" s="1">
        <v>456.3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59">
        <f t="shared" si="98"/>
        <v>456.3</v>
      </c>
      <c r="AB319" s="58">
        <v>2018</v>
      </c>
      <c r="AC319" s="9"/>
      <c r="AD319" s="101"/>
      <c r="AE319" s="101"/>
    </row>
    <row r="320" spans="1:31" ht="51" hidden="1" customHeight="1" x14ac:dyDescent="0.3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80" t="s">
        <v>214</v>
      </c>
      <c r="S320" s="84" t="s">
        <v>175</v>
      </c>
      <c r="T320" s="3">
        <v>754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6">
        <f t="shared" si="98"/>
        <v>754</v>
      </c>
      <c r="AB320" s="41">
        <v>2018</v>
      </c>
      <c r="AC320" s="9"/>
      <c r="AD320" s="101"/>
      <c r="AE320" s="101"/>
    </row>
    <row r="321" spans="1:31" ht="16.2" hidden="1" customHeight="1" x14ac:dyDescent="0.3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160" t="s">
        <v>215</v>
      </c>
      <c r="S321" s="63" t="s">
        <v>0</v>
      </c>
      <c r="T321" s="1">
        <f>SUM(T322:T326)</f>
        <v>244.8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59">
        <f t="shared" si="98"/>
        <v>244.8</v>
      </c>
      <c r="AB321" s="58">
        <v>2018</v>
      </c>
      <c r="AC321" s="9"/>
      <c r="AD321" s="101"/>
      <c r="AE321" s="101"/>
    </row>
    <row r="322" spans="1:31" ht="16.2" hidden="1" customHeight="1" x14ac:dyDescent="0.3">
      <c r="A322" s="54" t="s">
        <v>18</v>
      </c>
      <c r="B322" s="54" t="s">
        <v>18</v>
      </c>
      <c r="C322" s="54" t="s">
        <v>21</v>
      </c>
      <c r="D322" s="54" t="s">
        <v>18</v>
      </c>
      <c r="E322" s="54" t="s">
        <v>21</v>
      </c>
      <c r="F322" s="54" t="s">
        <v>18</v>
      </c>
      <c r="G322" s="54" t="s">
        <v>22</v>
      </c>
      <c r="H322" s="54" t="s">
        <v>19</v>
      </c>
      <c r="I322" s="54" t="s">
        <v>24</v>
      </c>
      <c r="J322" s="54" t="s">
        <v>18</v>
      </c>
      <c r="K322" s="54" t="s">
        <v>18</v>
      </c>
      <c r="L322" s="54" t="s">
        <v>20</v>
      </c>
      <c r="M322" s="54" t="s">
        <v>19</v>
      </c>
      <c r="N322" s="54" t="s">
        <v>18</v>
      </c>
      <c r="O322" s="54" t="s">
        <v>24</v>
      </c>
      <c r="P322" s="54" t="s">
        <v>22</v>
      </c>
      <c r="Q322" s="54" t="s">
        <v>45</v>
      </c>
      <c r="R322" s="160"/>
      <c r="S322" s="63" t="s">
        <v>0</v>
      </c>
      <c r="T322" s="1">
        <v>97.9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59">
        <f t="shared" si="98"/>
        <v>97.9</v>
      </c>
      <c r="AB322" s="58">
        <v>2018</v>
      </c>
      <c r="AC322" s="9"/>
      <c r="AD322" s="101"/>
      <c r="AE322" s="101"/>
    </row>
    <row r="323" spans="1:31" ht="16.2" hidden="1" customHeight="1" x14ac:dyDescent="0.3">
      <c r="A323" s="54" t="s">
        <v>18</v>
      </c>
      <c r="B323" s="54" t="s">
        <v>18</v>
      </c>
      <c r="C323" s="54" t="s">
        <v>21</v>
      </c>
      <c r="D323" s="54" t="s">
        <v>18</v>
      </c>
      <c r="E323" s="54" t="s">
        <v>21</v>
      </c>
      <c r="F323" s="54" t="s">
        <v>18</v>
      </c>
      <c r="G323" s="54" t="s">
        <v>22</v>
      </c>
      <c r="H323" s="54" t="s">
        <v>19</v>
      </c>
      <c r="I323" s="54" t="s">
        <v>24</v>
      </c>
      <c r="J323" s="54" t="s">
        <v>18</v>
      </c>
      <c r="K323" s="54" t="s">
        <v>18</v>
      </c>
      <c r="L323" s="54" t="s">
        <v>20</v>
      </c>
      <c r="M323" s="54" t="s">
        <v>19</v>
      </c>
      <c r="N323" s="54" t="s">
        <v>18</v>
      </c>
      <c r="O323" s="54" t="s">
        <v>43</v>
      </c>
      <c r="P323" s="54" t="s">
        <v>22</v>
      </c>
      <c r="Q323" s="54" t="s">
        <v>178</v>
      </c>
      <c r="R323" s="160"/>
      <c r="S323" s="63" t="s">
        <v>0</v>
      </c>
      <c r="T323" s="1">
        <v>15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59">
        <f t="shared" si="98"/>
        <v>15</v>
      </c>
      <c r="AB323" s="58">
        <v>2018</v>
      </c>
      <c r="AC323" s="9"/>
      <c r="AD323" s="101"/>
      <c r="AE323" s="101"/>
    </row>
    <row r="324" spans="1:31" ht="16.2" hidden="1" customHeight="1" x14ac:dyDescent="0.3">
      <c r="A324" s="54" t="s">
        <v>18</v>
      </c>
      <c r="B324" s="54" t="s">
        <v>18</v>
      </c>
      <c r="C324" s="54" t="s">
        <v>21</v>
      </c>
      <c r="D324" s="54" t="s">
        <v>18</v>
      </c>
      <c r="E324" s="54" t="s">
        <v>21</v>
      </c>
      <c r="F324" s="54" t="s">
        <v>18</v>
      </c>
      <c r="G324" s="54" t="s">
        <v>22</v>
      </c>
      <c r="H324" s="54" t="s">
        <v>19</v>
      </c>
      <c r="I324" s="54" t="s">
        <v>24</v>
      </c>
      <c r="J324" s="54" t="s">
        <v>18</v>
      </c>
      <c r="K324" s="54" t="s">
        <v>18</v>
      </c>
      <c r="L324" s="54" t="s">
        <v>20</v>
      </c>
      <c r="M324" s="54" t="s">
        <v>37</v>
      </c>
      <c r="N324" s="54" t="s">
        <v>18</v>
      </c>
      <c r="O324" s="54" t="s">
        <v>24</v>
      </c>
      <c r="P324" s="54" t="s">
        <v>22</v>
      </c>
      <c r="Q324" s="54" t="s">
        <v>46</v>
      </c>
      <c r="R324" s="160"/>
      <c r="S324" s="63" t="s">
        <v>0</v>
      </c>
      <c r="T324" s="1">
        <v>4.9000000000000004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59">
        <f t="shared" si="98"/>
        <v>4.9000000000000004</v>
      </c>
      <c r="AB324" s="58">
        <v>2018</v>
      </c>
      <c r="AC324" s="9"/>
      <c r="AD324" s="101"/>
      <c r="AE324" s="101"/>
    </row>
    <row r="325" spans="1:31" ht="16.2" hidden="1" customHeight="1" x14ac:dyDescent="0.3">
      <c r="A325" s="54" t="s">
        <v>18</v>
      </c>
      <c r="B325" s="54" t="s">
        <v>18</v>
      </c>
      <c r="C325" s="54" t="s">
        <v>21</v>
      </c>
      <c r="D325" s="54" t="s">
        <v>18</v>
      </c>
      <c r="E325" s="54" t="s">
        <v>21</v>
      </c>
      <c r="F325" s="54" t="s">
        <v>18</v>
      </c>
      <c r="G325" s="54" t="s">
        <v>22</v>
      </c>
      <c r="H325" s="54" t="s">
        <v>19</v>
      </c>
      <c r="I325" s="54" t="s">
        <v>24</v>
      </c>
      <c r="J325" s="54" t="s">
        <v>18</v>
      </c>
      <c r="K325" s="54" t="s">
        <v>18</v>
      </c>
      <c r="L325" s="54" t="s">
        <v>20</v>
      </c>
      <c r="M325" s="54" t="s">
        <v>37</v>
      </c>
      <c r="N325" s="54" t="s">
        <v>18</v>
      </c>
      <c r="O325" s="54" t="s">
        <v>24</v>
      </c>
      <c r="P325" s="54" t="s">
        <v>22</v>
      </c>
      <c r="Q325" s="54" t="s">
        <v>46</v>
      </c>
      <c r="R325" s="160"/>
      <c r="S325" s="63" t="s">
        <v>0</v>
      </c>
      <c r="T325" s="1">
        <v>36.700000000000003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59">
        <f t="shared" si="98"/>
        <v>36.700000000000003</v>
      </c>
      <c r="AB325" s="58">
        <v>2018</v>
      </c>
      <c r="AC325" s="9"/>
      <c r="AD325" s="101"/>
      <c r="AE325" s="101"/>
    </row>
    <row r="326" spans="1:31" ht="16.2" hidden="1" customHeight="1" x14ac:dyDescent="0.3">
      <c r="A326" s="54" t="s">
        <v>18</v>
      </c>
      <c r="B326" s="54" t="s">
        <v>18</v>
      </c>
      <c r="C326" s="54" t="s">
        <v>21</v>
      </c>
      <c r="D326" s="54" t="s">
        <v>18</v>
      </c>
      <c r="E326" s="54" t="s">
        <v>21</v>
      </c>
      <c r="F326" s="54" t="s">
        <v>18</v>
      </c>
      <c r="G326" s="54" t="s">
        <v>22</v>
      </c>
      <c r="H326" s="54" t="s">
        <v>19</v>
      </c>
      <c r="I326" s="54" t="s">
        <v>24</v>
      </c>
      <c r="J326" s="54" t="s">
        <v>18</v>
      </c>
      <c r="K326" s="54" t="s">
        <v>18</v>
      </c>
      <c r="L326" s="54" t="s">
        <v>20</v>
      </c>
      <c r="M326" s="54" t="s">
        <v>37</v>
      </c>
      <c r="N326" s="54" t="s">
        <v>18</v>
      </c>
      <c r="O326" s="54" t="s">
        <v>24</v>
      </c>
      <c r="P326" s="54" t="s">
        <v>22</v>
      </c>
      <c r="Q326" s="54" t="s">
        <v>39</v>
      </c>
      <c r="R326" s="160"/>
      <c r="S326" s="63" t="s">
        <v>0</v>
      </c>
      <c r="T326" s="1">
        <v>90.3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59">
        <f t="shared" si="98"/>
        <v>90.3</v>
      </c>
      <c r="AB326" s="58">
        <v>2018</v>
      </c>
      <c r="AC326" s="9"/>
      <c r="AD326" s="101"/>
      <c r="AE326" s="101"/>
    </row>
    <row r="327" spans="1:31" ht="52.2" hidden="1" customHeight="1" x14ac:dyDescent="0.3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80" t="s">
        <v>216</v>
      </c>
      <c r="S327" s="84" t="s">
        <v>50</v>
      </c>
      <c r="T327" s="44">
        <v>10</v>
      </c>
      <c r="U327" s="44">
        <v>0</v>
      </c>
      <c r="V327" s="44">
        <v>0</v>
      </c>
      <c r="W327" s="44">
        <v>0</v>
      </c>
      <c r="X327" s="44">
        <v>0</v>
      </c>
      <c r="Y327" s="44">
        <v>0</v>
      </c>
      <c r="Z327" s="44">
        <v>0</v>
      </c>
      <c r="AA327" s="49">
        <f t="shared" si="98"/>
        <v>10</v>
      </c>
      <c r="AB327" s="41">
        <v>2018</v>
      </c>
      <c r="AC327" s="9"/>
      <c r="AD327" s="101"/>
      <c r="AE327" s="101"/>
    </row>
    <row r="328" spans="1:31" ht="16.350000000000001" hidden="1" customHeight="1" x14ac:dyDescent="0.3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160" t="s">
        <v>217</v>
      </c>
      <c r="S328" s="63" t="s">
        <v>0</v>
      </c>
      <c r="T328" s="1">
        <f>SUM(T329:T333)</f>
        <v>686.4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59">
        <f t="shared" ref="AA328:AA395" si="104">SUM(T328:Y328)</f>
        <v>686.4</v>
      </c>
      <c r="AB328" s="58">
        <v>2018</v>
      </c>
      <c r="AC328" s="9"/>
      <c r="AD328" s="101"/>
      <c r="AE328" s="101"/>
    </row>
    <row r="329" spans="1:31" ht="16.350000000000001" hidden="1" customHeight="1" x14ac:dyDescent="0.3">
      <c r="A329" s="54" t="s">
        <v>18</v>
      </c>
      <c r="B329" s="54" t="s">
        <v>18</v>
      </c>
      <c r="C329" s="54" t="s">
        <v>21</v>
      </c>
      <c r="D329" s="54" t="s">
        <v>18</v>
      </c>
      <c r="E329" s="54" t="s">
        <v>24</v>
      </c>
      <c r="F329" s="54" t="s">
        <v>18</v>
      </c>
      <c r="G329" s="54" t="s">
        <v>43</v>
      </c>
      <c r="H329" s="54" t="s">
        <v>19</v>
      </c>
      <c r="I329" s="54" t="s">
        <v>24</v>
      </c>
      <c r="J329" s="54" t="s">
        <v>18</v>
      </c>
      <c r="K329" s="54" t="s">
        <v>18</v>
      </c>
      <c r="L329" s="54" t="s">
        <v>20</v>
      </c>
      <c r="M329" s="54" t="s">
        <v>19</v>
      </c>
      <c r="N329" s="54" t="s">
        <v>18</v>
      </c>
      <c r="O329" s="54" t="s">
        <v>24</v>
      </c>
      <c r="P329" s="54" t="s">
        <v>22</v>
      </c>
      <c r="Q329" s="54" t="s">
        <v>45</v>
      </c>
      <c r="R329" s="160"/>
      <c r="S329" s="63" t="s">
        <v>0</v>
      </c>
      <c r="T329" s="1">
        <v>272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59">
        <f t="shared" si="104"/>
        <v>272</v>
      </c>
      <c r="AB329" s="58">
        <v>2018</v>
      </c>
      <c r="AC329" s="9"/>
      <c r="AD329" s="101"/>
      <c r="AE329" s="101"/>
    </row>
    <row r="330" spans="1:31" ht="16.350000000000001" hidden="1" customHeight="1" x14ac:dyDescent="0.3">
      <c r="A330" s="54" t="s">
        <v>18</v>
      </c>
      <c r="B330" s="54" t="s">
        <v>18</v>
      </c>
      <c r="C330" s="54" t="s">
        <v>21</v>
      </c>
      <c r="D330" s="54" t="s">
        <v>18</v>
      </c>
      <c r="E330" s="54" t="s">
        <v>24</v>
      </c>
      <c r="F330" s="54" t="s">
        <v>18</v>
      </c>
      <c r="G330" s="54" t="s">
        <v>43</v>
      </c>
      <c r="H330" s="54" t="s">
        <v>19</v>
      </c>
      <c r="I330" s="54" t="s">
        <v>24</v>
      </c>
      <c r="J330" s="54" t="s">
        <v>18</v>
      </c>
      <c r="K330" s="54" t="s">
        <v>18</v>
      </c>
      <c r="L330" s="54" t="s">
        <v>20</v>
      </c>
      <c r="M330" s="54" t="s">
        <v>19</v>
      </c>
      <c r="N330" s="54" t="s">
        <v>18</v>
      </c>
      <c r="O330" s="54" t="s">
        <v>43</v>
      </c>
      <c r="P330" s="54" t="s">
        <v>22</v>
      </c>
      <c r="Q330" s="54" t="s">
        <v>178</v>
      </c>
      <c r="R330" s="160"/>
      <c r="S330" s="63" t="s">
        <v>0</v>
      </c>
      <c r="T330" s="1">
        <v>30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59">
        <f t="shared" si="104"/>
        <v>30</v>
      </c>
      <c r="AB330" s="58">
        <v>2018</v>
      </c>
      <c r="AC330" s="9"/>
      <c r="AD330" s="101"/>
      <c r="AE330" s="101"/>
    </row>
    <row r="331" spans="1:31" ht="16.350000000000001" hidden="1" customHeight="1" x14ac:dyDescent="0.3">
      <c r="A331" s="54" t="s">
        <v>18</v>
      </c>
      <c r="B331" s="54" t="s">
        <v>18</v>
      </c>
      <c r="C331" s="54" t="s">
        <v>21</v>
      </c>
      <c r="D331" s="54" t="s">
        <v>18</v>
      </c>
      <c r="E331" s="54" t="s">
        <v>24</v>
      </c>
      <c r="F331" s="54" t="s">
        <v>18</v>
      </c>
      <c r="G331" s="54" t="s">
        <v>43</v>
      </c>
      <c r="H331" s="54" t="s">
        <v>19</v>
      </c>
      <c r="I331" s="54" t="s">
        <v>24</v>
      </c>
      <c r="J331" s="54" t="s">
        <v>18</v>
      </c>
      <c r="K331" s="54" t="s">
        <v>18</v>
      </c>
      <c r="L331" s="54" t="s">
        <v>20</v>
      </c>
      <c r="M331" s="54" t="s">
        <v>37</v>
      </c>
      <c r="N331" s="54" t="s">
        <v>18</v>
      </c>
      <c r="O331" s="54" t="s">
        <v>24</v>
      </c>
      <c r="P331" s="54" t="s">
        <v>22</v>
      </c>
      <c r="Q331" s="54" t="s">
        <v>46</v>
      </c>
      <c r="R331" s="160"/>
      <c r="S331" s="63" t="s">
        <v>0</v>
      </c>
      <c r="T331" s="1">
        <v>47.3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59">
        <f t="shared" si="104"/>
        <v>47.3</v>
      </c>
      <c r="AB331" s="58">
        <v>2018</v>
      </c>
      <c r="AC331" s="9"/>
      <c r="AD331" s="101"/>
      <c r="AE331" s="101"/>
    </row>
    <row r="332" spans="1:31" ht="16.350000000000001" hidden="1" customHeight="1" x14ac:dyDescent="0.3">
      <c r="A332" s="54" t="s">
        <v>18</v>
      </c>
      <c r="B332" s="54" t="s">
        <v>18</v>
      </c>
      <c r="C332" s="54" t="s">
        <v>21</v>
      </c>
      <c r="D332" s="54" t="s">
        <v>18</v>
      </c>
      <c r="E332" s="54" t="s">
        <v>24</v>
      </c>
      <c r="F332" s="54" t="s">
        <v>18</v>
      </c>
      <c r="G332" s="54" t="s">
        <v>43</v>
      </c>
      <c r="H332" s="54" t="s">
        <v>19</v>
      </c>
      <c r="I332" s="54" t="s">
        <v>24</v>
      </c>
      <c r="J332" s="54" t="s">
        <v>18</v>
      </c>
      <c r="K332" s="54" t="s">
        <v>18</v>
      </c>
      <c r="L332" s="54" t="s">
        <v>20</v>
      </c>
      <c r="M332" s="54" t="s">
        <v>37</v>
      </c>
      <c r="N332" s="54" t="s">
        <v>18</v>
      </c>
      <c r="O332" s="54" t="s">
        <v>24</v>
      </c>
      <c r="P332" s="54" t="s">
        <v>22</v>
      </c>
      <c r="Q332" s="54" t="s">
        <v>46</v>
      </c>
      <c r="R332" s="160"/>
      <c r="S332" s="63" t="s">
        <v>0</v>
      </c>
      <c r="T332" s="1">
        <v>68.599999999999994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59">
        <f t="shared" si="104"/>
        <v>68.599999999999994</v>
      </c>
      <c r="AB332" s="58">
        <v>2018</v>
      </c>
      <c r="AC332" s="9"/>
      <c r="AD332" s="101"/>
      <c r="AE332" s="101"/>
    </row>
    <row r="333" spans="1:31" ht="16.350000000000001" hidden="1" customHeight="1" x14ac:dyDescent="0.3">
      <c r="A333" s="54" t="s">
        <v>18</v>
      </c>
      <c r="B333" s="54" t="s">
        <v>18</v>
      </c>
      <c r="C333" s="54" t="s">
        <v>21</v>
      </c>
      <c r="D333" s="54" t="s">
        <v>18</v>
      </c>
      <c r="E333" s="54" t="s">
        <v>24</v>
      </c>
      <c r="F333" s="54" t="s">
        <v>18</v>
      </c>
      <c r="G333" s="54" t="s">
        <v>43</v>
      </c>
      <c r="H333" s="54" t="s">
        <v>19</v>
      </c>
      <c r="I333" s="54" t="s">
        <v>24</v>
      </c>
      <c r="J333" s="54" t="s">
        <v>18</v>
      </c>
      <c r="K333" s="54" t="s">
        <v>18</v>
      </c>
      <c r="L333" s="54" t="s">
        <v>20</v>
      </c>
      <c r="M333" s="54" t="s">
        <v>37</v>
      </c>
      <c r="N333" s="54" t="s">
        <v>18</v>
      </c>
      <c r="O333" s="54" t="s">
        <v>24</v>
      </c>
      <c r="P333" s="54" t="s">
        <v>22</v>
      </c>
      <c r="Q333" s="54" t="s">
        <v>39</v>
      </c>
      <c r="R333" s="160"/>
      <c r="S333" s="63" t="s">
        <v>0</v>
      </c>
      <c r="T333" s="1">
        <v>268.5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59">
        <f t="shared" si="104"/>
        <v>268.5</v>
      </c>
      <c r="AB333" s="58">
        <v>2018</v>
      </c>
      <c r="AC333" s="9"/>
      <c r="AD333" s="101"/>
      <c r="AE333" s="101"/>
    </row>
    <row r="334" spans="1:31" ht="53.4" hidden="1" customHeight="1" x14ac:dyDescent="0.3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78" t="s">
        <v>218</v>
      </c>
      <c r="S334" s="84" t="s">
        <v>175</v>
      </c>
      <c r="T334" s="3">
        <v>285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6">
        <f t="shared" si="104"/>
        <v>285</v>
      </c>
      <c r="AB334" s="41">
        <v>2018</v>
      </c>
      <c r="AC334" s="9"/>
      <c r="AD334" s="101"/>
      <c r="AE334" s="101"/>
    </row>
    <row r="335" spans="1:31" ht="16.350000000000001" hidden="1" customHeight="1" x14ac:dyDescent="0.3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160" t="s">
        <v>219</v>
      </c>
      <c r="S335" s="63" t="s">
        <v>0</v>
      </c>
      <c r="T335" s="1">
        <f>SUM(T336:T340)</f>
        <v>657.90000000000009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59">
        <f t="shared" si="104"/>
        <v>657.90000000000009</v>
      </c>
      <c r="AB335" s="58">
        <v>2018</v>
      </c>
      <c r="AC335" s="9"/>
      <c r="AD335" s="101"/>
      <c r="AE335" s="101"/>
    </row>
    <row r="336" spans="1:31" ht="16.350000000000001" hidden="1" customHeight="1" x14ac:dyDescent="0.3">
      <c r="A336" s="54" t="s">
        <v>18</v>
      </c>
      <c r="B336" s="54" t="s">
        <v>18</v>
      </c>
      <c r="C336" s="54" t="s">
        <v>21</v>
      </c>
      <c r="D336" s="54" t="s">
        <v>18</v>
      </c>
      <c r="E336" s="54" t="s">
        <v>21</v>
      </c>
      <c r="F336" s="54" t="s">
        <v>18</v>
      </c>
      <c r="G336" s="54" t="s">
        <v>22</v>
      </c>
      <c r="H336" s="54" t="s">
        <v>19</v>
      </c>
      <c r="I336" s="54" t="s">
        <v>24</v>
      </c>
      <c r="J336" s="54" t="s">
        <v>18</v>
      </c>
      <c r="K336" s="54" t="s">
        <v>18</v>
      </c>
      <c r="L336" s="54" t="s">
        <v>20</v>
      </c>
      <c r="M336" s="54" t="s">
        <v>19</v>
      </c>
      <c r="N336" s="54" t="s">
        <v>18</v>
      </c>
      <c r="O336" s="54" t="s">
        <v>24</v>
      </c>
      <c r="P336" s="54" t="s">
        <v>22</v>
      </c>
      <c r="Q336" s="54" t="s">
        <v>45</v>
      </c>
      <c r="R336" s="160"/>
      <c r="S336" s="63" t="s">
        <v>0</v>
      </c>
      <c r="T336" s="1">
        <v>263.10000000000002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59">
        <f t="shared" si="104"/>
        <v>263.10000000000002</v>
      </c>
      <c r="AB336" s="58">
        <v>2018</v>
      </c>
      <c r="AC336" s="9"/>
      <c r="AD336" s="101"/>
      <c r="AE336" s="101"/>
    </row>
    <row r="337" spans="1:31" ht="16.350000000000001" hidden="1" customHeight="1" x14ac:dyDescent="0.3">
      <c r="A337" s="54" t="s">
        <v>18</v>
      </c>
      <c r="B337" s="54" t="s">
        <v>18</v>
      </c>
      <c r="C337" s="54" t="s">
        <v>21</v>
      </c>
      <c r="D337" s="54" t="s">
        <v>18</v>
      </c>
      <c r="E337" s="54" t="s">
        <v>21</v>
      </c>
      <c r="F337" s="54" t="s">
        <v>18</v>
      </c>
      <c r="G337" s="54" t="s">
        <v>22</v>
      </c>
      <c r="H337" s="54" t="s">
        <v>19</v>
      </c>
      <c r="I337" s="54" t="s">
        <v>24</v>
      </c>
      <c r="J337" s="54" t="s">
        <v>18</v>
      </c>
      <c r="K337" s="54" t="s">
        <v>18</v>
      </c>
      <c r="L337" s="54" t="s">
        <v>20</v>
      </c>
      <c r="M337" s="54" t="s">
        <v>19</v>
      </c>
      <c r="N337" s="54" t="s">
        <v>18</v>
      </c>
      <c r="O337" s="54" t="s">
        <v>43</v>
      </c>
      <c r="P337" s="54" t="s">
        <v>22</v>
      </c>
      <c r="Q337" s="54" t="s">
        <v>178</v>
      </c>
      <c r="R337" s="160"/>
      <c r="S337" s="63" t="s">
        <v>0</v>
      </c>
      <c r="T337" s="1">
        <v>40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59">
        <f>SUM(T337:Y337)</f>
        <v>40</v>
      </c>
      <c r="AB337" s="58">
        <v>2018</v>
      </c>
      <c r="AC337" s="9"/>
      <c r="AD337" s="101"/>
      <c r="AE337" s="101"/>
    </row>
    <row r="338" spans="1:31" ht="16.350000000000001" hidden="1" customHeight="1" x14ac:dyDescent="0.3">
      <c r="A338" s="54" t="s">
        <v>18</v>
      </c>
      <c r="B338" s="54" t="s">
        <v>18</v>
      </c>
      <c r="C338" s="54" t="s">
        <v>21</v>
      </c>
      <c r="D338" s="54" t="s">
        <v>18</v>
      </c>
      <c r="E338" s="54" t="s">
        <v>21</v>
      </c>
      <c r="F338" s="54" t="s">
        <v>18</v>
      </c>
      <c r="G338" s="54" t="s">
        <v>22</v>
      </c>
      <c r="H338" s="54" t="s">
        <v>19</v>
      </c>
      <c r="I338" s="54" t="s">
        <v>24</v>
      </c>
      <c r="J338" s="54" t="s">
        <v>18</v>
      </c>
      <c r="K338" s="54" t="s">
        <v>18</v>
      </c>
      <c r="L338" s="54" t="s">
        <v>20</v>
      </c>
      <c r="M338" s="54" t="s">
        <v>37</v>
      </c>
      <c r="N338" s="54" t="s">
        <v>18</v>
      </c>
      <c r="O338" s="54" t="s">
        <v>24</v>
      </c>
      <c r="P338" s="54" t="s">
        <v>22</v>
      </c>
      <c r="Q338" s="54" t="s">
        <v>46</v>
      </c>
      <c r="R338" s="160"/>
      <c r="S338" s="63" t="s">
        <v>0</v>
      </c>
      <c r="T338" s="1">
        <v>5.7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59">
        <f t="shared" si="104"/>
        <v>5.7</v>
      </c>
      <c r="AB338" s="58">
        <v>2018</v>
      </c>
      <c r="AC338" s="9"/>
      <c r="AD338" s="101"/>
      <c r="AE338" s="101"/>
    </row>
    <row r="339" spans="1:31" ht="16.350000000000001" hidden="1" customHeight="1" x14ac:dyDescent="0.3">
      <c r="A339" s="54" t="s">
        <v>18</v>
      </c>
      <c r="B339" s="54" t="s">
        <v>18</v>
      </c>
      <c r="C339" s="54" t="s">
        <v>21</v>
      </c>
      <c r="D339" s="54" t="s">
        <v>18</v>
      </c>
      <c r="E339" s="54" t="s">
        <v>21</v>
      </c>
      <c r="F339" s="54" t="s">
        <v>18</v>
      </c>
      <c r="G339" s="54" t="s">
        <v>22</v>
      </c>
      <c r="H339" s="54" t="s">
        <v>19</v>
      </c>
      <c r="I339" s="54" t="s">
        <v>24</v>
      </c>
      <c r="J339" s="54" t="s">
        <v>18</v>
      </c>
      <c r="K339" s="54" t="s">
        <v>18</v>
      </c>
      <c r="L339" s="54" t="s">
        <v>20</v>
      </c>
      <c r="M339" s="54" t="s">
        <v>37</v>
      </c>
      <c r="N339" s="54" t="s">
        <v>18</v>
      </c>
      <c r="O339" s="54" t="s">
        <v>24</v>
      </c>
      <c r="P339" s="54" t="s">
        <v>22</v>
      </c>
      <c r="Q339" s="54" t="s">
        <v>46</v>
      </c>
      <c r="R339" s="160"/>
      <c r="S339" s="63" t="s">
        <v>0</v>
      </c>
      <c r="T339" s="1">
        <v>98.8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59">
        <f t="shared" si="104"/>
        <v>98.8</v>
      </c>
      <c r="AB339" s="58">
        <v>2018</v>
      </c>
      <c r="AC339" s="9"/>
      <c r="AD339" s="101"/>
      <c r="AE339" s="101"/>
    </row>
    <row r="340" spans="1:31" ht="16.350000000000001" hidden="1" customHeight="1" x14ac:dyDescent="0.3">
      <c r="A340" s="54" t="s">
        <v>18</v>
      </c>
      <c r="B340" s="54" t="s">
        <v>18</v>
      </c>
      <c r="C340" s="54" t="s">
        <v>21</v>
      </c>
      <c r="D340" s="54" t="s">
        <v>18</v>
      </c>
      <c r="E340" s="54" t="s">
        <v>21</v>
      </c>
      <c r="F340" s="54" t="s">
        <v>18</v>
      </c>
      <c r="G340" s="54" t="s">
        <v>22</v>
      </c>
      <c r="H340" s="54" t="s">
        <v>19</v>
      </c>
      <c r="I340" s="54" t="s">
        <v>24</v>
      </c>
      <c r="J340" s="54" t="s">
        <v>18</v>
      </c>
      <c r="K340" s="54" t="s">
        <v>18</v>
      </c>
      <c r="L340" s="54" t="s">
        <v>20</v>
      </c>
      <c r="M340" s="54" t="s">
        <v>37</v>
      </c>
      <c r="N340" s="54" t="s">
        <v>18</v>
      </c>
      <c r="O340" s="54" t="s">
        <v>24</v>
      </c>
      <c r="P340" s="54" t="s">
        <v>22</v>
      </c>
      <c r="Q340" s="54" t="s">
        <v>39</v>
      </c>
      <c r="R340" s="160"/>
      <c r="S340" s="63" t="s">
        <v>0</v>
      </c>
      <c r="T340" s="1">
        <v>250.3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59">
        <f t="shared" si="104"/>
        <v>250.3</v>
      </c>
      <c r="AB340" s="58">
        <v>2018</v>
      </c>
      <c r="AC340" s="9"/>
      <c r="AD340" s="101"/>
      <c r="AE340" s="101"/>
    </row>
    <row r="341" spans="1:31" ht="37.200000000000003" hidden="1" customHeight="1" x14ac:dyDescent="0.3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80" t="s">
        <v>220</v>
      </c>
      <c r="S341" s="84" t="s">
        <v>175</v>
      </c>
      <c r="T341" s="3">
        <v>443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  <c r="AA341" s="6">
        <f t="shared" si="104"/>
        <v>443</v>
      </c>
      <c r="AB341" s="41">
        <v>2018</v>
      </c>
      <c r="AC341" s="9"/>
      <c r="AD341" s="101"/>
      <c r="AE341" s="101"/>
    </row>
    <row r="342" spans="1:31" ht="18.600000000000001" hidden="1" customHeight="1" x14ac:dyDescent="0.3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160" t="s">
        <v>221</v>
      </c>
      <c r="S342" s="63" t="s">
        <v>0</v>
      </c>
      <c r="T342" s="1">
        <f>SUM(T343:T347)</f>
        <v>1100.4000000000001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59">
        <f t="shared" si="104"/>
        <v>1100.4000000000001</v>
      </c>
      <c r="AB342" s="58">
        <v>2018</v>
      </c>
      <c r="AC342" s="9"/>
      <c r="AD342" s="101"/>
      <c r="AE342" s="101"/>
    </row>
    <row r="343" spans="1:31" ht="16.350000000000001" hidden="1" customHeight="1" x14ac:dyDescent="0.3">
      <c r="A343" s="54" t="s">
        <v>18</v>
      </c>
      <c r="B343" s="54" t="s">
        <v>18</v>
      </c>
      <c r="C343" s="54" t="s">
        <v>21</v>
      </c>
      <c r="D343" s="54" t="s">
        <v>18</v>
      </c>
      <c r="E343" s="54" t="s">
        <v>21</v>
      </c>
      <c r="F343" s="54" t="s">
        <v>18</v>
      </c>
      <c r="G343" s="54" t="s">
        <v>22</v>
      </c>
      <c r="H343" s="54" t="s">
        <v>19</v>
      </c>
      <c r="I343" s="54" t="s">
        <v>24</v>
      </c>
      <c r="J343" s="54" t="s">
        <v>18</v>
      </c>
      <c r="K343" s="54" t="s">
        <v>18</v>
      </c>
      <c r="L343" s="54" t="s">
        <v>20</v>
      </c>
      <c r="M343" s="54" t="s">
        <v>19</v>
      </c>
      <c r="N343" s="54" t="s">
        <v>18</v>
      </c>
      <c r="O343" s="54" t="s">
        <v>24</v>
      </c>
      <c r="P343" s="54" t="s">
        <v>22</v>
      </c>
      <c r="Q343" s="54" t="s">
        <v>45</v>
      </c>
      <c r="R343" s="160"/>
      <c r="S343" s="63" t="s">
        <v>0</v>
      </c>
      <c r="T343" s="1">
        <v>400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59">
        <f t="shared" si="104"/>
        <v>400</v>
      </c>
      <c r="AB343" s="58">
        <v>2018</v>
      </c>
      <c r="AC343" s="9"/>
      <c r="AD343" s="101"/>
      <c r="AE343" s="101"/>
    </row>
    <row r="344" spans="1:31" ht="16.350000000000001" hidden="1" customHeight="1" x14ac:dyDescent="0.3">
      <c r="A344" s="54" t="s">
        <v>18</v>
      </c>
      <c r="B344" s="54" t="s">
        <v>18</v>
      </c>
      <c r="C344" s="54" t="s">
        <v>21</v>
      </c>
      <c r="D344" s="54" t="s">
        <v>18</v>
      </c>
      <c r="E344" s="54" t="s">
        <v>21</v>
      </c>
      <c r="F344" s="54" t="s">
        <v>18</v>
      </c>
      <c r="G344" s="54" t="s">
        <v>22</v>
      </c>
      <c r="H344" s="54" t="s">
        <v>19</v>
      </c>
      <c r="I344" s="54" t="s">
        <v>24</v>
      </c>
      <c r="J344" s="54" t="s">
        <v>18</v>
      </c>
      <c r="K344" s="54" t="s">
        <v>18</v>
      </c>
      <c r="L344" s="54" t="s">
        <v>20</v>
      </c>
      <c r="M344" s="54" t="s">
        <v>19</v>
      </c>
      <c r="N344" s="54" t="s">
        <v>18</v>
      </c>
      <c r="O344" s="54" t="s">
        <v>43</v>
      </c>
      <c r="P344" s="54" t="s">
        <v>22</v>
      </c>
      <c r="Q344" s="54" t="s">
        <v>178</v>
      </c>
      <c r="R344" s="160"/>
      <c r="S344" s="63" t="s">
        <v>0</v>
      </c>
      <c r="T344" s="1">
        <v>40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59">
        <f t="shared" si="104"/>
        <v>40</v>
      </c>
      <c r="AB344" s="58">
        <v>2018</v>
      </c>
      <c r="AC344" s="9"/>
      <c r="AD344" s="101"/>
      <c r="AE344" s="101"/>
    </row>
    <row r="345" spans="1:31" ht="16.350000000000001" hidden="1" customHeight="1" x14ac:dyDescent="0.3">
      <c r="A345" s="54" t="s">
        <v>18</v>
      </c>
      <c r="B345" s="54" t="s">
        <v>18</v>
      </c>
      <c r="C345" s="54" t="s">
        <v>21</v>
      </c>
      <c r="D345" s="54" t="s">
        <v>18</v>
      </c>
      <c r="E345" s="54" t="s">
        <v>21</v>
      </c>
      <c r="F345" s="54" t="s">
        <v>18</v>
      </c>
      <c r="G345" s="54" t="s">
        <v>22</v>
      </c>
      <c r="H345" s="54" t="s">
        <v>19</v>
      </c>
      <c r="I345" s="54" t="s">
        <v>24</v>
      </c>
      <c r="J345" s="54" t="s">
        <v>18</v>
      </c>
      <c r="K345" s="54" t="s">
        <v>18</v>
      </c>
      <c r="L345" s="54" t="s">
        <v>20</v>
      </c>
      <c r="M345" s="54" t="s">
        <v>37</v>
      </c>
      <c r="N345" s="54" t="s">
        <v>18</v>
      </c>
      <c r="O345" s="54" t="s">
        <v>24</v>
      </c>
      <c r="P345" s="54" t="s">
        <v>22</v>
      </c>
      <c r="Q345" s="54" t="s">
        <v>46</v>
      </c>
      <c r="R345" s="160"/>
      <c r="S345" s="63" t="s">
        <v>0</v>
      </c>
      <c r="T345" s="1">
        <v>30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59">
        <f t="shared" si="104"/>
        <v>30</v>
      </c>
      <c r="AB345" s="58">
        <v>2018</v>
      </c>
      <c r="AC345" s="9"/>
      <c r="AD345" s="101"/>
      <c r="AE345" s="101"/>
    </row>
    <row r="346" spans="1:31" ht="16.350000000000001" hidden="1" customHeight="1" x14ac:dyDescent="0.3">
      <c r="A346" s="54" t="s">
        <v>18</v>
      </c>
      <c r="B346" s="54" t="s">
        <v>18</v>
      </c>
      <c r="C346" s="54" t="s">
        <v>21</v>
      </c>
      <c r="D346" s="54" t="s">
        <v>18</v>
      </c>
      <c r="E346" s="54" t="s">
        <v>21</v>
      </c>
      <c r="F346" s="54" t="s">
        <v>18</v>
      </c>
      <c r="G346" s="54" t="s">
        <v>22</v>
      </c>
      <c r="H346" s="54" t="s">
        <v>19</v>
      </c>
      <c r="I346" s="54" t="s">
        <v>24</v>
      </c>
      <c r="J346" s="54" t="s">
        <v>18</v>
      </c>
      <c r="K346" s="54" t="s">
        <v>18</v>
      </c>
      <c r="L346" s="54" t="s">
        <v>20</v>
      </c>
      <c r="M346" s="54" t="s">
        <v>37</v>
      </c>
      <c r="N346" s="54" t="s">
        <v>18</v>
      </c>
      <c r="O346" s="54" t="s">
        <v>24</v>
      </c>
      <c r="P346" s="54" t="s">
        <v>22</v>
      </c>
      <c r="Q346" s="54" t="s">
        <v>46</v>
      </c>
      <c r="R346" s="160"/>
      <c r="S346" s="63" t="s">
        <v>0</v>
      </c>
      <c r="T346" s="1">
        <v>166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59">
        <f t="shared" si="104"/>
        <v>166</v>
      </c>
      <c r="AB346" s="58">
        <v>2018</v>
      </c>
      <c r="AC346" s="9"/>
      <c r="AD346" s="101"/>
      <c r="AE346" s="101"/>
    </row>
    <row r="347" spans="1:31" ht="16.350000000000001" hidden="1" customHeight="1" x14ac:dyDescent="0.3">
      <c r="A347" s="54" t="s">
        <v>18</v>
      </c>
      <c r="B347" s="54" t="s">
        <v>18</v>
      </c>
      <c r="C347" s="54" t="s">
        <v>21</v>
      </c>
      <c r="D347" s="54" t="s">
        <v>18</v>
      </c>
      <c r="E347" s="54" t="s">
        <v>21</v>
      </c>
      <c r="F347" s="54" t="s">
        <v>18</v>
      </c>
      <c r="G347" s="54" t="s">
        <v>22</v>
      </c>
      <c r="H347" s="54" t="s">
        <v>19</v>
      </c>
      <c r="I347" s="54" t="s">
        <v>24</v>
      </c>
      <c r="J347" s="54" t="s">
        <v>18</v>
      </c>
      <c r="K347" s="54" t="s">
        <v>18</v>
      </c>
      <c r="L347" s="54" t="s">
        <v>20</v>
      </c>
      <c r="M347" s="54" t="s">
        <v>37</v>
      </c>
      <c r="N347" s="54" t="s">
        <v>18</v>
      </c>
      <c r="O347" s="54" t="s">
        <v>24</v>
      </c>
      <c r="P347" s="54" t="s">
        <v>22</v>
      </c>
      <c r="Q347" s="54" t="s">
        <v>39</v>
      </c>
      <c r="R347" s="160"/>
      <c r="S347" s="63" t="s">
        <v>0</v>
      </c>
      <c r="T347" s="1">
        <v>464.4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59">
        <f t="shared" si="104"/>
        <v>464.4</v>
      </c>
      <c r="AB347" s="58">
        <v>2018</v>
      </c>
      <c r="AC347" s="9"/>
      <c r="AD347" s="101"/>
      <c r="AE347" s="101"/>
    </row>
    <row r="348" spans="1:31" ht="37.200000000000003" hidden="1" customHeight="1" x14ac:dyDescent="0.3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80" t="s">
        <v>222</v>
      </c>
      <c r="S348" s="84" t="s">
        <v>175</v>
      </c>
      <c r="T348" s="3">
        <v>930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6">
        <f t="shared" si="104"/>
        <v>930</v>
      </c>
      <c r="AB348" s="41">
        <v>2018</v>
      </c>
      <c r="AC348" s="9"/>
      <c r="AD348" s="101"/>
      <c r="AE348" s="101"/>
    </row>
    <row r="349" spans="1:31" ht="22.2" hidden="1" customHeight="1" x14ac:dyDescent="0.3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160" t="s">
        <v>223</v>
      </c>
      <c r="S349" s="63" t="s">
        <v>0</v>
      </c>
      <c r="T349" s="1">
        <f>SUM(T350:T354)</f>
        <v>1421.6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59">
        <f t="shared" si="104"/>
        <v>1421.6</v>
      </c>
      <c r="AB349" s="58">
        <v>2018</v>
      </c>
      <c r="AC349" s="9"/>
      <c r="AD349" s="101"/>
      <c r="AE349" s="101"/>
    </row>
    <row r="350" spans="1:31" ht="16.350000000000001" hidden="1" customHeight="1" x14ac:dyDescent="0.3">
      <c r="A350" s="54" t="s">
        <v>18</v>
      </c>
      <c r="B350" s="54" t="s">
        <v>18</v>
      </c>
      <c r="C350" s="54" t="s">
        <v>21</v>
      </c>
      <c r="D350" s="54" t="s">
        <v>18</v>
      </c>
      <c r="E350" s="54" t="s">
        <v>21</v>
      </c>
      <c r="F350" s="54" t="s">
        <v>18</v>
      </c>
      <c r="G350" s="54" t="s">
        <v>22</v>
      </c>
      <c r="H350" s="54" t="s">
        <v>19</v>
      </c>
      <c r="I350" s="54" t="s">
        <v>24</v>
      </c>
      <c r="J350" s="54" t="s">
        <v>18</v>
      </c>
      <c r="K350" s="54" t="s">
        <v>18</v>
      </c>
      <c r="L350" s="54" t="s">
        <v>20</v>
      </c>
      <c r="M350" s="54" t="s">
        <v>19</v>
      </c>
      <c r="N350" s="54" t="s">
        <v>18</v>
      </c>
      <c r="O350" s="54" t="s">
        <v>24</v>
      </c>
      <c r="P350" s="54" t="s">
        <v>22</v>
      </c>
      <c r="Q350" s="54" t="s">
        <v>45</v>
      </c>
      <c r="R350" s="160"/>
      <c r="S350" s="63" t="s">
        <v>0</v>
      </c>
      <c r="T350" s="1">
        <v>400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59">
        <f t="shared" si="104"/>
        <v>400</v>
      </c>
      <c r="AB350" s="58">
        <v>2018</v>
      </c>
      <c r="AC350" s="9"/>
      <c r="AD350" s="101"/>
      <c r="AE350" s="101"/>
    </row>
    <row r="351" spans="1:31" ht="16.350000000000001" hidden="1" customHeight="1" x14ac:dyDescent="0.3">
      <c r="A351" s="54" t="s">
        <v>18</v>
      </c>
      <c r="B351" s="54" t="s">
        <v>18</v>
      </c>
      <c r="C351" s="54" t="s">
        <v>21</v>
      </c>
      <c r="D351" s="54" t="s">
        <v>18</v>
      </c>
      <c r="E351" s="54" t="s">
        <v>21</v>
      </c>
      <c r="F351" s="54" t="s">
        <v>18</v>
      </c>
      <c r="G351" s="54" t="s">
        <v>22</v>
      </c>
      <c r="H351" s="54" t="s">
        <v>19</v>
      </c>
      <c r="I351" s="54" t="s">
        <v>24</v>
      </c>
      <c r="J351" s="54" t="s">
        <v>18</v>
      </c>
      <c r="K351" s="54" t="s">
        <v>18</v>
      </c>
      <c r="L351" s="54" t="s">
        <v>20</v>
      </c>
      <c r="M351" s="54" t="s">
        <v>19</v>
      </c>
      <c r="N351" s="54" t="s">
        <v>18</v>
      </c>
      <c r="O351" s="54" t="s">
        <v>43</v>
      </c>
      <c r="P351" s="54" t="s">
        <v>22</v>
      </c>
      <c r="Q351" s="54" t="s">
        <v>178</v>
      </c>
      <c r="R351" s="160"/>
      <c r="S351" s="63" t="s">
        <v>0</v>
      </c>
      <c r="T351" s="1">
        <v>50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59">
        <f>SUM(T351:Y351)</f>
        <v>50</v>
      </c>
      <c r="AB351" s="58">
        <v>2018</v>
      </c>
      <c r="AC351" s="9"/>
      <c r="AD351" s="101"/>
      <c r="AE351" s="101"/>
    </row>
    <row r="352" spans="1:31" ht="16.350000000000001" hidden="1" customHeight="1" x14ac:dyDescent="0.3">
      <c r="A352" s="54" t="s">
        <v>18</v>
      </c>
      <c r="B352" s="54" t="s">
        <v>18</v>
      </c>
      <c r="C352" s="54" t="s">
        <v>21</v>
      </c>
      <c r="D352" s="54" t="s">
        <v>18</v>
      </c>
      <c r="E352" s="54" t="s">
        <v>21</v>
      </c>
      <c r="F352" s="54" t="s">
        <v>18</v>
      </c>
      <c r="G352" s="54" t="s">
        <v>22</v>
      </c>
      <c r="H352" s="54" t="s">
        <v>19</v>
      </c>
      <c r="I352" s="54" t="s">
        <v>24</v>
      </c>
      <c r="J352" s="54" t="s">
        <v>18</v>
      </c>
      <c r="K352" s="54" t="s">
        <v>18</v>
      </c>
      <c r="L352" s="54" t="s">
        <v>20</v>
      </c>
      <c r="M352" s="54" t="s">
        <v>37</v>
      </c>
      <c r="N352" s="54" t="s">
        <v>18</v>
      </c>
      <c r="O352" s="54" t="s">
        <v>24</v>
      </c>
      <c r="P352" s="54" t="s">
        <v>22</v>
      </c>
      <c r="Q352" s="54" t="s">
        <v>46</v>
      </c>
      <c r="R352" s="160"/>
      <c r="S352" s="63" t="s">
        <v>0</v>
      </c>
      <c r="T352" s="1">
        <v>83.1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59">
        <f t="shared" si="104"/>
        <v>83.1</v>
      </c>
      <c r="AB352" s="58">
        <v>2018</v>
      </c>
      <c r="AC352" s="9"/>
      <c r="AD352" s="101"/>
      <c r="AE352" s="101"/>
    </row>
    <row r="353" spans="1:31" ht="16.350000000000001" hidden="1" customHeight="1" x14ac:dyDescent="0.3">
      <c r="A353" s="54" t="s">
        <v>18</v>
      </c>
      <c r="B353" s="54" t="s">
        <v>18</v>
      </c>
      <c r="C353" s="54" t="s">
        <v>21</v>
      </c>
      <c r="D353" s="54" t="s">
        <v>18</v>
      </c>
      <c r="E353" s="54" t="s">
        <v>21</v>
      </c>
      <c r="F353" s="54" t="s">
        <v>18</v>
      </c>
      <c r="G353" s="54" t="s">
        <v>22</v>
      </c>
      <c r="H353" s="54" t="s">
        <v>19</v>
      </c>
      <c r="I353" s="54" t="s">
        <v>24</v>
      </c>
      <c r="J353" s="54" t="s">
        <v>18</v>
      </c>
      <c r="K353" s="54" t="s">
        <v>18</v>
      </c>
      <c r="L353" s="54" t="s">
        <v>20</v>
      </c>
      <c r="M353" s="54" t="s">
        <v>37</v>
      </c>
      <c r="N353" s="54" t="s">
        <v>18</v>
      </c>
      <c r="O353" s="54" t="s">
        <v>24</v>
      </c>
      <c r="P353" s="54" t="s">
        <v>22</v>
      </c>
      <c r="Q353" s="54" t="s">
        <v>46</v>
      </c>
      <c r="R353" s="160"/>
      <c r="S353" s="63" t="s">
        <v>0</v>
      </c>
      <c r="T353" s="1">
        <v>143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59">
        <f t="shared" si="104"/>
        <v>143</v>
      </c>
      <c r="AB353" s="58">
        <v>2018</v>
      </c>
      <c r="AC353" s="9"/>
      <c r="AD353" s="101"/>
      <c r="AE353" s="101"/>
    </row>
    <row r="354" spans="1:31" ht="16.350000000000001" hidden="1" customHeight="1" x14ac:dyDescent="0.3">
      <c r="A354" s="54" t="s">
        <v>18</v>
      </c>
      <c r="B354" s="54" t="s">
        <v>18</v>
      </c>
      <c r="C354" s="54" t="s">
        <v>21</v>
      </c>
      <c r="D354" s="54" t="s">
        <v>18</v>
      </c>
      <c r="E354" s="54" t="s">
        <v>21</v>
      </c>
      <c r="F354" s="54" t="s">
        <v>18</v>
      </c>
      <c r="G354" s="54" t="s">
        <v>22</v>
      </c>
      <c r="H354" s="54" t="s">
        <v>19</v>
      </c>
      <c r="I354" s="54" t="s">
        <v>24</v>
      </c>
      <c r="J354" s="54" t="s">
        <v>18</v>
      </c>
      <c r="K354" s="54" t="s">
        <v>18</v>
      </c>
      <c r="L354" s="54" t="s">
        <v>20</v>
      </c>
      <c r="M354" s="54" t="s">
        <v>37</v>
      </c>
      <c r="N354" s="54" t="s">
        <v>18</v>
      </c>
      <c r="O354" s="54" t="s">
        <v>24</v>
      </c>
      <c r="P354" s="54" t="s">
        <v>22</v>
      </c>
      <c r="Q354" s="54" t="s">
        <v>39</v>
      </c>
      <c r="R354" s="160"/>
      <c r="S354" s="63" t="s">
        <v>0</v>
      </c>
      <c r="T354" s="1">
        <v>745.5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59">
        <f t="shared" si="104"/>
        <v>745.5</v>
      </c>
      <c r="AB354" s="58">
        <v>2018</v>
      </c>
      <c r="AC354" s="9"/>
      <c r="AD354" s="101"/>
      <c r="AE354" s="101"/>
    </row>
    <row r="355" spans="1:31" ht="36.6" hidden="1" customHeight="1" x14ac:dyDescent="0.3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80" t="s">
        <v>224</v>
      </c>
      <c r="S355" s="84" t="s">
        <v>175</v>
      </c>
      <c r="T355" s="3">
        <v>1070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6">
        <f t="shared" si="104"/>
        <v>1070</v>
      </c>
      <c r="AB355" s="41">
        <v>2018</v>
      </c>
      <c r="AC355" s="9"/>
      <c r="AD355" s="101"/>
      <c r="AE355" s="101"/>
    </row>
    <row r="356" spans="1:31" ht="19.95" hidden="1" customHeight="1" x14ac:dyDescent="0.3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160" t="s">
        <v>225</v>
      </c>
      <c r="S356" s="63" t="s">
        <v>0</v>
      </c>
      <c r="T356" s="1">
        <f>SUM(T357:T361)</f>
        <v>263.89999999999998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59">
        <f t="shared" si="104"/>
        <v>263.89999999999998</v>
      </c>
      <c r="AB356" s="58">
        <v>2018</v>
      </c>
      <c r="AC356" s="9"/>
      <c r="AD356" s="101"/>
      <c r="AE356" s="101"/>
    </row>
    <row r="357" spans="1:31" ht="16.350000000000001" hidden="1" customHeight="1" x14ac:dyDescent="0.3">
      <c r="A357" s="54" t="s">
        <v>18</v>
      </c>
      <c r="B357" s="54" t="s">
        <v>18</v>
      </c>
      <c r="C357" s="54" t="s">
        <v>21</v>
      </c>
      <c r="D357" s="54" t="s">
        <v>18</v>
      </c>
      <c r="E357" s="54" t="s">
        <v>21</v>
      </c>
      <c r="F357" s="54" t="s">
        <v>18</v>
      </c>
      <c r="G357" s="54" t="s">
        <v>22</v>
      </c>
      <c r="H357" s="54" t="s">
        <v>19</v>
      </c>
      <c r="I357" s="54" t="s">
        <v>24</v>
      </c>
      <c r="J357" s="54" t="s">
        <v>18</v>
      </c>
      <c r="K357" s="54" t="s">
        <v>18</v>
      </c>
      <c r="L357" s="54" t="s">
        <v>20</v>
      </c>
      <c r="M357" s="54" t="s">
        <v>19</v>
      </c>
      <c r="N357" s="54" t="s">
        <v>18</v>
      </c>
      <c r="O357" s="54" t="s">
        <v>24</v>
      </c>
      <c r="P357" s="54" t="s">
        <v>22</v>
      </c>
      <c r="Q357" s="54" t="s">
        <v>45</v>
      </c>
      <c r="R357" s="160"/>
      <c r="S357" s="63" t="s">
        <v>0</v>
      </c>
      <c r="T357" s="1">
        <v>105.5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59">
        <f t="shared" si="104"/>
        <v>105.5</v>
      </c>
      <c r="AB357" s="58">
        <v>2018</v>
      </c>
      <c r="AC357" s="9"/>
      <c r="AD357" s="101"/>
      <c r="AE357" s="101"/>
    </row>
    <row r="358" spans="1:31" ht="16.350000000000001" hidden="1" customHeight="1" x14ac:dyDescent="0.3">
      <c r="A358" s="54" t="s">
        <v>18</v>
      </c>
      <c r="B358" s="54" t="s">
        <v>18</v>
      </c>
      <c r="C358" s="54" t="s">
        <v>21</v>
      </c>
      <c r="D358" s="54" t="s">
        <v>18</v>
      </c>
      <c r="E358" s="54" t="s">
        <v>21</v>
      </c>
      <c r="F358" s="54" t="s">
        <v>18</v>
      </c>
      <c r="G358" s="54" t="s">
        <v>22</v>
      </c>
      <c r="H358" s="54" t="s">
        <v>19</v>
      </c>
      <c r="I358" s="54" t="s">
        <v>24</v>
      </c>
      <c r="J358" s="54" t="s">
        <v>18</v>
      </c>
      <c r="K358" s="54" t="s">
        <v>18</v>
      </c>
      <c r="L358" s="54" t="s">
        <v>20</v>
      </c>
      <c r="M358" s="54" t="s">
        <v>19</v>
      </c>
      <c r="N358" s="54" t="s">
        <v>18</v>
      </c>
      <c r="O358" s="54" t="s">
        <v>43</v>
      </c>
      <c r="P358" s="54" t="s">
        <v>22</v>
      </c>
      <c r="Q358" s="54" t="s">
        <v>178</v>
      </c>
      <c r="R358" s="160"/>
      <c r="S358" s="63" t="s">
        <v>0</v>
      </c>
      <c r="T358" s="1">
        <v>20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59">
        <f t="shared" si="104"/>
        <v>20</v>
      </c>
      <c r="AB358" s="58">
        <v>2018</v>
      </c>
      <c r="AC358" s="9"/>
      <c r="AD358" s="101"/>
      <c r="AE358" s="101"/>
    </row>
    <row r="359" spans="1:31" ht="16.350000000000001" hidden="1" customHeight="1" x14ac:dyDescent="0.3">
      <c r="A359" s="54" t="s">
        <v>18</v>
      </c>
      <c r="B359" s="54" t="s">
        <v>18</v>
      </c>
      <c r="C359" s="54" t="s">
        <v>21</v>
      </c>
      <c r="D359" s="54" t="s">
        <v>18</v>
      </c>
      <c r="E359" s="54" t="s">
        <v>21</v>
      </c>
      <c r="F359" s="54" t="s">
        <v>18</v>
      </c>
      <c r="G359" s="54" t="s">
        <v>22</v>
      </c>
      <c r="H359" s="54" t="s">
        <v>19</v>
      </c>
      <c r="I359" s="54" t="s">
        <v>24</v>
      </c>
      <c r="J359" s="54" t="s">
        <v>18</v>
      </c>
      <c r="K359" s="54" t="s">
        <v>18</v>
      </c>
      <c r="L359" s="54" t="s">
        <v>20</v>
      </c>
      <c r="M359" s="54" t="s">
        <v>37</v>
      </c>
      <c r="N359" s="54" t="s">
        <v>18</v>
      </c>
      <c r="O359" s="54" t="s">
        <v>24</v>
      </c>
      <c r="P359" s="54" t="s">
        <v>22</v>
      </c>
      <c r="Q359" s="54" t="s">
        <v>46</v>
      </c>
      <c r="R359" s="160"/>
      <c r="S359" s="63" t="s">
        <v>0</v>
      </c>
      <c r="T359" s="1">
        <v>19.399999999999999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59">
        <f t="shared" si="104"/>
        <v>19.399999999999999</v>
      </c>
      <c r="AB359" s="58">
        <v>2018</v>
      </c>
      <c r="AC359" s="9"/>
      <c r="AD359" s="101"/>
      <c r="AE359" s="101"/>
    </row>
    <row r="360" spans="1:31" ht="16.350000000000001" hidden="1" customHeight="1" x14ac:dyDescent="0.3">
      <c r="A360" s="54" t="s">
        <v>18</v>
      </c>
      <c r="B360" s="54" t="s">
        <v>18</v>
      </c>
      <c r="C360" s="54" t="s">
        <v>21</v>
      </c>
      <c r="D360" s="54" t="s">
        <v>18</v>
      </c>
      <c r="E360" s="54" t="s">
        <v>21</v>
      </c>
      <c r="F360" s="54" t="s">
        <v>18</v>
      </c>
      <c r="G360" s="54" t="s">
        <v>22</v>
      </c>
      <c r="H360" s="54" t="s">
        <v>19</v>
      </c>
      <c r="I360" s="54" t="s">
        <v>24</v>
      </c>
      <c r="J360" s="54" t="s">
        <v>18</v>
      </c>
      <c r="K360" s="54" t="s">
        <v>18</v>
      </c>
      <c r="L360" s="54" t="s">
        <v>20</v>
      </c>
      <c r="M360" s="54" t="s">
        <v>37</v>
      </c>
      <c r="N360" s="54" t="s">
        <v>18</v>
      </c>
      <c r="O360" s="54" t="s">
        <v>24</v>
      </c>
      <c r="P360" s="54" t="s">
        <v>22</v>
      </c>
      <c r="Q360" s="54" t="s">
        <v>46</v>
      </c>
      <c r="R360" s="160"/>
      <c r="S360" s="63" t="s">
        <v>0</v>
      </c>
      <c r="T360" s="1">
        <v>39.6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59">
        <f t="shared" si="104"/>
        <v>39.6</v>
      </c>
      <c r="AB360" s="58">
        <v>2018</v>
      </c>
      <c r="AC360" s="9"/>
      <c r="AD360" s="101"/>
      <c r="AE360" s="101"/>
    </row>
    <row r="361" spans="1:31" ht="16.350000000000001" hidden="1" customHeight="1" x14ac:dyDescent="0.3">
      <c r="A361" s="54" t="s">
        <v>18</v>
      </c>
      <c r="B361" s="54" t="s">
        <v>18</v>
      </c>
      <c r="C361" s="54" t="s">
        <v>21</v>
      </c>
      <c r="D361" s="54" t="s">
        <v>18</v>
      </c>
      <c r="E361" s="54" t="s">
        <v>21</v>
      </c>
      <c r="F361" s="54" t="s">
        <v>18</v>
      </c>
      <c r="G361" s="54" t="s">
        <v>22</v>
      </c>
      <c r="H361" s="54" t="s">
        <v>19</v>
      </c>
      <c r="I361" s="54" t="s">
        <v>24</v>
      </c>
      <c r="J361" s="54" t="s">
        <v>18</v>
      </c>
      <c r="K361" s="54" t="s">
        <v>18</v>
      </c>
      <c r="L361" s="54" t="s">
        <v>20</v>
      </c>
      <c r="M361" s="54" t="s">
        <v>37</v>
      </c>
      <c r="N361" s="54" t="s">
        <v>18</v>
      </c>
      <c r="O361" s="54" t="s">
        <v>24</v>
      </c>
      <c r="P361" s="54" t="s">
        <v>22</v>
      </c>
      <c r="Q361" s="54" t="s">
        <v>39</v>
      </c>
      <c r="R361" s="160"/>
      <c r="S361" s="63" t="s">
        <v>0</v>
      </c>
      <c r="T361" s="1">
        <v>79.400000000000006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59">
        <f t="shared" si="104"/>
        <v>79.400000000000006</v>
      </c>
      <c r="AB361" s="58">
        <v>2018</v>
      </c>
      <c r="AC361" s="9"/>
      <c r="AD361" s="101"/>
      <c r="AE361" s="101"/>
    </row>
    <row r="362" spans="1:31" ht="36.6" hidden="1" customHeight="1" x14ac:dyDescent="0.3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80" t="s">
        <v>226</v>
      </c>
      <c r="S362" s="84" t="s">
        <v>8</v>
      </c>
      <c r="T362" s="44">
        <v>5</v>
      </c>
      <c r="U362" s="44">
        <v>0</v>
      </c>
      <c r="V362" s="44">
        <v>0</v>
      </c>
      <c r="W362" s="44">
        <v>0</v>
      </c>
      <c r="X362" s="44">
        <v>0</v>
      </c>
      <c r="Y362" s="44">
        <v>0</v>
      </c>
      <c r="Z362" s="44">
        <v>0</v>
      </c>
      <c r="AA362" s="6">
        <f t="shared" si="104"/>
        <v>5</v>
      </c>
      <c r="AB362" s="41">
        <v>2018</v>
      </c>
      <c r="AC362" s="9"/>
      <c r="AD362" s="101"/>
      <c r="AE362" s="101"/>
    </row>
    <row r="363" spans="1:31" ht="15.6" hidden="1" customHeight="1" x14ac:dyDescent="0.3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160" t="s">
        <v>227</v>
      </c>
      <c r="S363" s="63" t="s">
        <v>0</v>
      </c>
      <c r="T363" s="1">
        <f>SUM(T364:T368)</f>
        <v>490.3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59">
        <f t="shared" si="104"/>
        <v>490.3</v>
      </c>
      <c r="AB363" s="58">
        <v>2018</v>
      </c>
      <c r="AC363" s="9"/>
      <c r="AD363" s="101"/>
      <c r="AE363" s="101"/>
    </row>
    <row r="364" spans="1:31" ht="15.6" hidden="1" customHeight="1" x14ac:dyDescent="0.3">
      <c r="A364" s="54" t="s">
        <v>18</v>
      </c>
      <c r="B364" s="54" t="s">
        <v>18</v>
      </c>
      <c r="C364" s="54" t="s">
        <v>21</v>
      </c>
      <c r="D364" s="54" t="s">
        <v>18</v>
      </c>
      <c r="E364" s="54" t="s">
        <v>24</v>
      </c>
      <c r="F364" s="54" t="s">
        <v>18</v>
      </c>
      <c r="G364" s="54" t="s">
        <v>43</v>
      </c>
      <c r="H364" s="54" t="s">
        <v>19</v>
      </c>
      <c r="I364" s="54" t="s">
        <v>24</v>
      </c>
      <c r="J364" s="54" t="s">
        <v>18</v>
      </c>
      <c r="K364" s="54" t="s">
        <v>18</v>
      </c>
      <c r="L364" s="54" t="s">
        <v>20</v>
      </c>
      <c r="M364" s="54" t="s">
        <v>19</v>
      </c>
      <c r="N364" s="54" t="s">
        <v>18</v>
      </c>
      <c r="O364" s="54" t="s">
        <v>24</v>
      </c>
      <c r="P364" s="54" t="s">
        <v>22</v>
      </c>
      <c r="Q364" s="54" t="s">
        <v>45</v>
      </c>
      <c r="R364" s="160"/>
      <c r="S364" s="63" t="s">
        <v>0</v>
      </c>
      <c r="T364" s="1">
        <v>196.1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59">
        <f t="shared" si="104"/>
        <v>196.1</v>
      </c>
      <c r="AB364" s="58">
        <v>2018</v>
      </c>
      <c r="AC364" s="9"/>
      <c r="AD364" s="101"/>
      <c r="AE364" s="101"/>
    </row>
    <row r="365" spans="1:31" ht="15.6" hidden="1" customHeight="1" x14ac:dyDescent="0.3">
      <c r="A365" s="54" t="s">
        <v>18</v>
      </c>
      <c r="B365" s="54" t="s">
        <v>18</v>
      </c>
      <c r="C365" s="54" t="s">
        <v>21</v>
      </c>
      <c r="D365" s="54" t="s">
        <v>18</v>
      </c>
      <c r="E365" s="54" t="s">
        <v>24</v>
      </c>
      <c r="F365" s="54" t="s">
        <v>18</v>
      </c>
      <c r="G365" s="54" t="s">
        <v>43</v>
      </c>
      <c r="H365" s="54" t="s">
        <v>19</v>
      </c>
      <c r="I365" s="54" t="s">
        <v>24</v>
      </c>
      <c r="J365" s="54" t="s">
        <v>18</v>
      </c>
      <c r="K365" s="54" t="s">
        <v>18</v>
      </c>
      <c r="L365" s="54" t="s">
        <v>20</v>
      </c>
      <c r="M365" s="54" t="s">
        <v>19</v>
      </c>
      <c r="N365" s="54" t="s">
        <v>18</v>
      </c>
      <c r="O365" s="54" t="s">
        <v>43</v>
      </c>
      <c r="P365" s="54" t="s">
        <v>22</v>
      </c>
      <c r="Q365" s="54" t="s">
        <v>178</v>
      </c>
      <c r="R365" s="160"/>
      <c r="S365" s="63" t="s">
        <v>0</v>
      </c>
      <c r="T365" s="1">
        <v>30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59">
        <f>SUM(T365:Y365)</f>
        <v>30</v>
      </c>
      <c r="AB365" s="58">
        <v>2018</v>
      </c>
      <c r="AC365" s="9"/>
      <c r="AD365" s="101"/>
      <c r="AE365" s="101"/>
    </row>
    <row r="366" spans="1:31" ht="15.6" hidden="1" customHeight="1" x14ac:dyDescent="0.3">
      <c r="A366" s="54" t="s">
        <v>18</v>
      </c>
      <c r="B366" s="54" t="s">
        <v>18</v>
      </c>
      <c r="C366" s="54" t="s">
        <v>21</v>
      </c>
      <c r="D366" s="54" t="s">
        <v>18</v>
      </c>
      <c r="E366" s="54" t="s">
        <v>24</v>
      </c>
      <c r="F366" s="54" t="s">
        <v>18</v>
      </c>
      <c r="G366" s="54" t="s">
        <v>43</v>
      </c>
      <c r="H366" s="54" t="s">
        <v>19</v>
      </c>
      <c r="I366" s="54" t="s">
        <v>24</v>
      </c>
      <c r="J366" s="54" t="s">
        <v>18</v>
      </c>
      <c r="K366" s="54" t="s">
        <v>18</v>
      </c>
      <c r="L366" s="54" t="s">
        <v>20</v>
      </c>
      <c r="M366" s="54" t="s">
        <v>37</v>
      </c>
      <c r="N366" s="54" t="s">
        <v>18</v>
      </c>
      <c r="O366" s="54" t="s">
        <v>24</v>
      </c>
      <c r="P366" s="54" t="s">
        <v>22</v>
      </c>
      <c r="Q366" s="54" t="s">
        <v>46</v>
      </c>
      <c r="R366" s="160"/>
      <c r="S366" s="63" t="s">
        <v>0</v>
      </c>
      <c r="T366" s="1">
        <v>33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59">
        <f t="shared" si="104"/>
        <v>33</v>
      </c>
      <c r="AB366" s="58">
        <v>2018</v>
      </c>
      <c r="AC366" s="9"/>
      <c r="AD366" s="101"/>
      <c r="AE366" s="101"/>
    </row>
    <row r="367" spans="1:31" ht="15.6" hidden="1" customHeight="1" x14ac:dyDescent="0.3">
      <c r="A367" s="54" t="s">
        <v>18</v>
      </c>
      <c r="B367" s="54" t="s">
        <v>18</v>
      </c>
      <c r="C367" s="54" t="s">
        <v>21</v>
      </c>
      <c r="D367" s="54" t="s">
        <v>18</v>
      </c>
      <c r="E367" s="54" t="s">
        <v>24</v>
      </c>
      <c r="F367" s="54" t="s">
        <v>18</v>
      </c>
      <c r="G367" s="54" t="s">
        <v>43</v>
      </c>
      <c r="H367" s="54" t="s">
        <v>19</v>
      </c>
      <c r="I367" s="54" t="s">
        <v>24</v>
      </c>
      <c r="J367" s="54" t="s">
        <v>18</v>
      </c>
      <c r="K367" s="54" t="s">
        <v>18</v>
      </c>
      <c r="L367" s="54" t="s">
        <v>20</v>
      </c>
      <c r="M367" s="54" t="s">
        <v>37</v>
      </c>
      <c r="N367" s="54" t="s">
        <v>18</v>
      </c>
      <c r="O367" s="54" t="s">
        <v>24</v>
      </c>
      <c r="P367" s="54" t="s">
        <v>22</v>
      </c>
      <c r="Q367" s="54" t="s">
        <v>46</v>
      </c>
      <c r="R367" s="160"/>
      <c r="S367" s="63" t="s">
        <v>0</v>
      </c>
      <c r="T367" s="1">
        <v>102.9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59">
        <f t="shared" si="104"/>
        <v>102.9</v>
      </c>
      <c r="AB367" s="58">
        <v>2018</v>
      </c>
      <c r="AC367" s="9"/>
      <c r="AD367" s="101"/>
      <c r="AE367" s="101"/>
    </row>
    <row r="368" spans="1:31" ht="15.6" hidden="1" customHeight="1" x14ac:dyDescent="0.3">
      <c r="A368" s="54" t="s">
        <v>18</v>
      </c>
      <c r="B368" s="54" t="s">
        <v>18</v>
      </c>
      <c r="C368" s="54" t="s">
        <v>21</v>
      </c>
      <c r="D368" s="54" t="s">
        <v>18</v>
      </c>
      <c r="E368" s="54" t="s">
        <v>24</v>
      </c>
      <c r="F368" s="54" t="s">
        <v>18</v>
      </c>
      <c r="G368" s="54" t="s">
        <v>43</v>
      </c>
      <c r="H368" s="54" t="s">
        <v>19</v>
      </c>
      <c r="I368" s="54" t="s">
        <v>24</v>
      </c>
      <c r="J368" s="54" t="s">
        <v>18</v>
      </c>
      <c r="K368" s="54" t="s">
        <v>18</v>
      </c>
      <c r="L368" s="54" t="s">
        <v>20</v>
      </c>
      <c r="M368" s="54" t="s">
        <v>37</v>
      </c>
      <c r="N368" s="54" t="s">
        <v>18</v>
      </c>
      <c r="O368" s="54" t="s">
        <v>24</v>
      </c>
      <c r="P368" s="54" t="s">
        <v>22</v>
      </c>
      <c r="Q368" s="54" t="s">
        <v>39</v>
      </c>
      <c r="R368" s="160"/>
      <c r="S368" s="63" t="s">
        <v>0</v>
      </c>
      <c r="T368" s="1">
        <v>128.30000000000001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59">
        <f t="shared" si="104"/>
        <v>128.30000000000001</v>
      </c>
      <c r="AB368" s="58">
        <v>2018</v>
      </c>
      <c r="AC368" s="9"/>
      <c r="AD368" s="101"/>
      <c r="AE368" s="101"/>
    </row>
    <row r="369" spans="1:31" ht="31.2" hidden="1" customHeight="1" x14ac:dyDescent="0.3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78" t="s">
        <v>228</v>
      </c>
      <c r="S369" s="89" t="s">
        <v>180</v>
      </c>
      <c r="T369" s="3">
        <v>180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6">
        <f t="shared" si="104"/>
        <v>180</v>
      </c>
      <c r="AB369" s="41">
        <v>2018</v>
      </c>
      <c r="AC369" s="9"/>
      <c r="AD369" s="101"/>
      <c r="AE369" s="101"/>
    </row>
    <row r="370" spans="1:31" ht="15.6" hidden="1" customHeight="1" x14ac:dyDescent="0.3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160" t="s">
        <v>229</v>
      </c>
      <c r="S370" s="63" t="s">
        <v>0</v>
      </c>
      <c r="T370" s="1">
        <f>SUM(T371:T375)</f>
        <v>1177.5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59">
        <f t="shared" si="104"/>
        <v>1177.5</v>
      </c>
      <c r="AB370" s="58">
        <v>2018</v>
      </c>
      <c r="AC370" s="9"/>
      <c r="AD370" s="101"/>
      <c r="AE370" s="101"/>
    </row>
    <row r="371" spans="1:31" ht="15.6" hidden="1" customHeight="1" x14ac:dyDescent="0.3">
      <c r="A371" s="54" t="s">
        <v>18</v>
      </c>
      <c r="B371" s="54" t="s">
        <v>18</v>
      </c>
      <c r="C371" s="54" t="s">
        <v>21</v>
      </c>
      <c r="D371" s="54" t="s">
        <v>18</v>
      </c>
      <c r="E371" s="54" t="s">
        <v>21</v>
      </c>
      <c r="F371" s="54" t="s">
        <v>18</v>
      </c>
      <c r="G371" s="54" t="s">
        <v>22</v>
      </c>
      <c r="H371" s="54" t="s">
        <v>19</v>
      </c>
      <c r="I371" s="54" t="s">
        <v>24</v>
      </c>
      <c r="J371" s="54" t="s">
        <v>18</v>
      </c>
      <c r="K371" s="54" t="s">
        <v>18</v>
      </c>
      <c r="L371" s="54" t="s">
        <v>20</v>
      </c>
      <c r="M371" s="54" t="s">
        <v>19</v>
      </c>
      <c r="N371" s="54" t="s">
        <v>18</v>
      </c>
      <c r="O371" s="54" t="s">
        <v>24</v>
      </c>
      <c r="P371" s="54" t="s">
        <v>22</v>
      </c>
      <c r="Q371" s="54" t="s">
        <v>45</v>
      </c>
      <c r="R371" s="160"/>
      <c r="S371" s="63" t="s">
        <v>0</v>
      </c>
      <c r="T371" s="1">
        <v>400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59">
        <f t="shared" si="104"/>
        <v>400</v>
      </c>
      <c r="AB371" s="58">
        <v>2018</v>
      </c>
      <c r="AC371" s="9"/>
      <c r="AD371" s="101"/>
      <c r="AE371" s="101"/>
    </row>
    <row r="372" spans="1:31" ht="15.6" hidden="1" customHeight="1" x14ac:dyDescent="0.3">
      <c r="A372" s="54" t="s">
        <v>18</v>
      </c>
      <c r="B372" s="54" t="s">
        <v>18</v>
      </c>
      <c r="C372" s="54" t="s">
        <v>21</v>
      </c>
      <c r="D372" s="54" t="s">
        <v>18</v>
      </c>
      <c r="E372" s="54" t="s">
        <v>21</v>
      </c>
      <c r="F372" s="54" t="s">
        <v>18</v>
      </c>
      <c r="G372" s="54" t="s">
        <v>22</v>
      </c>
      <c r="H372" s="54" t="s">
        <v>19</v>
      </c>
      <c r="I372" s="54" t="s">
        <v>24</v>
      </c>
      <c r="J372" s="54" t="s">
        <v>18</v>
      </c>
      <c r="K372" s="54" t="s">
        <v>18</v>
      </c>
      <c r="L372" s="54" t="s">
        <v>20</v>
      </c>
      <c r="M372" s="54" t="s">
        <v>19</v>
      </c>
      <c r="N372" s="54" t="s">
        <v>18</v>
      </c>
      <c r="O372" s="54" t="s">
        <v>43</v>
      </c>
      <c r="P372" s="54" t="s">
        <v>22</v>
      </c>
      <c r="Q372" s="54" t="s">
        <v>178</v>
      </c>
      <c r="R372" s="160"/>
      <c r="S372" s="63" t="s">
        <v>0</v>
      </c>
      <c r="T372" s="1">
        <v>45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59">
        <f t="shared" si="104"/>
        <v>45</v>
      </c>
      <c r="AB372" s="58">
        <v>2018</v>
      </c>
      <c r="AC372" s="9"/>
      <c r="AD372" s="101"/>
      <c r="AE372" s="101"/>
    </row>
    <row r="373" spans="1:31" ht="15.6" hidden="1" customHeight="1" x14ac:dyDescent="0.3">
      <c r="A373" s="54" t="s">
        <v>18</v>
      </c>
      <c r="B373" s="54" t="s">
        <v>18</v>
      </c>
      <c r="C373" s="54" t="s">
        <v>21</v>
      </c>
      <c r="D373" s="54" t="s">
        <v>18</v>
      </c>
      <c r="E373" s="54" t="s">
        <v>21</v>
      </c>
      <c r="F373" s="54" t="s">
        <v>18</v>
      </c>
      <c r="G373" s="54" t="s">
        <v>22</v>
      </c>
      <c r="H373" s="54" t="s">
        <v>19</v>
      </c>
      <c r="I373" s="54" t="s">
        <v>24</v>
      </c>
      <c r="J373" s="54" t="s">
        <v>18</v>
      </c>
      <c r="K373" s="54" t="s">
        <v>18</v>
      </c>
      <c r="L373" s="54" t="s">
        <v>20</v>
      </c>
      <c r="M373" s="54" t="s">
        <v>37</v>
      </c>
      <c r="N373" s="54" t="s">
        <v>18</v>
      </c>
      <c r="O373" s="54" t="s">
        <v>24</v>
      </c>
      <c r="P373" s="54" t="s">
        <v>22</v>
      </c>
      <c r="Q373" s="54" t="s">
        <v>46</v>
      </c>
      <c r="R373" s="160"/>
      <c r="S373" s="63" t="s">
        <v>0</v>
      </c>
      <c r="T373" s="1">
        <v>58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59">
        <f t="shared" si="104"/>
        <v>58</v>
      </c>
      <c r="AB373" s="58">
        <v>2018</v>
      </c>
      <c r="AC373" s="9"/>
      <c r="AD373" s="101"/>
      <c r="AE373" s="101"/>
    </row>
    <row r="374" spans="1:31" ht="15.6" hidden="1" customHeight="1" x14ac:dyDescent="0.3">
      <c r="A374" s="54" t="s">
        <v>18</v>
      </c>
      <c r="B374" s="54" t="s">
        <v>18</v>
      </c>
      <c r="C374" s="54" t="s">
        <v>21</v>
      </c>
      <c r="D374" s="54" t="s">
        <v>18</v>
      </c>
      <c r="E374" s="54" t="s">
        <v>21</v>
      </c>
      <c r="F374" s="54" t="s">
        <v>18</v>
      </c>
      <c r="G374" s="54" t="s">
        <v>22</v>
      </c>
      <c r="H374" s="54" t="s">
        <v>19</v>
      </c>
      <c r="I374" s="54" t="s">
        <v>24</v>
      </c>
      <c r="J374" s="54" t="s">
        <v>18</v>
      </c>
      <c r="K374" s="54" t="s">
        <v>18</v>
      </c>
      <c r="L374" s="54" t="s">
        <v>20</v>
      </c>
      <c r="M374" s="54" t="s">
        <v>37</v>
      </c>
      <c r="N374" s="54" t="s">
        <v>18</v>
      </c>
      <c r="O374" s="54" t="s">
        <v>24</v>
      </c>
      <c r="P374" s="54" t="s">
        <v>22</v>
      </c>
      <c r="Q374" s="54" t="s">
        <v>46</v>
      </c>
      <c r="R374" s="160"/>
      <c r="S374" s="63" t="s">
        <v>0</v>
      </c>
      <c r="T374" s="1">
        <v>353.3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59">
        <f t="shared" si="104"/>
        <v>353.3</v>
      </c>
      <c r="AB374" s="58">
        <v>2018</v>
      </c>
      <c r="AC374" s="86"/>
      <c r="AD374" s="101"/>
      <c r="AE374" s="101"/>
    </row>
    <row r="375" spans="1:31" ht="15.6" hidden="1" customHeight="1" x14ac:dyDescent="0.3">
      <c r="A375" s="54" t="s">
        <v>18</v>
      </c>
      <c r="B375" s="54" t="s">
        <v>18</v>
      </c>
      <c r="C375" s="54" t="s">
        <v>21</v>
      </c>
      <c r="D375" s="54" t="s">
        <v>18</v>
      </c>
      <c r="E375" s="54" t="s">
        <v>21</v>
      </c>
      <c r="F375" s="54" t="s">
        <v>18</v>
      </c>
      <c r="G375" s="54" t="s">
        <v>22</v>
      </c>
      <c r="H375" s="54" t="s">
        <v>19</v>
      </c>
      <c r="I375" s="54" t="s">
        <v>24</v>
      </c>
      <c r="J375" s="54" t="s">
        <v>18</v>
      </c>
      <c r="K375" s="54" t="s">
        <v>18</v>
      </c>
      <c r="L375" s="54" t="s">
        <v>20</v>
      </c>
      <c r="M375" s="54" t="s">
        <v>37</v>
      </c>
      <c r="N375" s="54" t="s">
        <v>18</v>
      </c>
      <c r="O375" s="54" t="s">
        <v>24</v>
      </c>
      <c r="P375" s="54" t="s">
        <v>22</v>
      </c>
      <c r="Q375" s="54" t="s">
        <v>39</v>
      </c>
      <c r="R375" s="160"/>
      <c r="S375" s="63" t="s">
        <v>0</v>
      </c>
      <c r="T375" s="1">
        <v>321.2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59">
        <f t="shared" si="104"/>
        <v>321.2</v>
      </c>
      <c r="AB375" s="58">
        <v>2018</v>
      </c>
      <c r="AC375" s="9"/>
      <c r="AD375" s="101"/>
      <c r="AE375" s="101"/>
    </row>
    <row r="376" spans="1:31" ht="27.6" hidden="1" customHeight="1" x14ac:dyDescent="0.3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88" t="s">
        <v>230</v>
      </c>
      <c r="S376" s="84" t="s">
        <v>8</v>
      </c>
      <c r="T376" s="44">
        <v>1</v>
      </c>
      <c r="U376" s="44">
        <v>0</v>
      </c>
      <c r="V376" s="44">
        <v>0</v>
      </c>
      <c r="W376" s="44">
        <v>0</v>
      </c>
      <c r="X376" s="44">
        <v>0</v>
      </c>
      <c r="Y376" s="44">
        <v>0</v>
      </c>
      <c r="Z376" s="44">
        <v>0</v>
      </c>
      <c r="AA376" s="49">
        <f t="shared" si="104"/>
        <v>1</v>
      </c>
      <c r="AB376" s="41">
        <v>2018</v>
      </c>
      <c r="AC376" s="9"/>
      <c r="AD376" s="101"/>
      <c r="AE376" s="101"/>
    </row>
    <row r="377" spans="1:31" ht="15.6" hidden="1" customHeight="1" x14ac:dyDescent="0.3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160" t="s">
        <v>231</v>
      </c>
      <c r="S377" s="63" t="s">
        <v>0</v>
      </c>
      <c r="T377" s="1">
        <f>SUM(T378:T381)</f>
        <v>979.3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59">
        <f t="shared" si="104"/>
        <v>979.3</v>
      </c>
      <c r="AB377" s="58">
        <v>2018</v>
      </c>
      <c r="AC377" s="9"/>
      <c r="AD377" s="101"/>
      <c r="AE377" s="101"/>
    </row>
    <row r="378" spans="1:31" ht="15.6" hidden="1" customHeight="1" x14ac:dyDescent="0.3">
      <c r="A378" s="54" t="s">
        <v>18</v>
      </c>
      <c r="B378" s="54" t="s">
        <v>18</v>
      </c>
      <c r="C378" s="54" t="s">
        <v>21</v>
      </c>
      <c r="D378" s="54" t="s">
        <v>18</v>
      </c>
      <c r="E378" s="54" t="s">
        <v>21</v>
      </c>
      <c r="F378" s="54" t="s">
        <v>18</v>
      </c>
      <c r="G378" s="54" t="s">
        <v>22</v>
      </c>
      <c r="H378" s="54" t="s">
        <v>19</v>
      </c>
      <c r="I378" s="54" t="s">
        <v>24</v>
      </c>
      <c r="J378" s="54" t="s">
        <v>18</v>
      </c>
      <c r="K378" s="54" t="s">
        <v>18</v>
      </c>
      <c r="L378" s="54" t="s">
        <v>20</v>
      </c>
      <c r="M378" s="54" t="s">
        <v>19</v>
      </c>
      <c r="N378" s="54" t="s">
        <v>18</v>
      </c>
      <c r="O378" s="54" t="s">
        <v>24</v>
      </c>
      <c r="P378" s="54" t="s">
        <v>22</v>
      </c>
      <c r="Q378" s="54" t="s">
        <v>45</v>
      </c>
      <c r="R378" s="160"/>
      <c r="S378" s="63" t="s">
        <v>0</v>
      </c>
      <c r="T378" s="1">
        <v>391.7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59">
        <f t="shared" si="104"/>
        <v>391.7</v>
      </c>
      <c r="AB378" s="58">
        <v>2018</v>
      </c>
      <c r="AC378" s="9"/>
      <c r="AD378" s="101"/>
      <c r="AE378" s="101"/>
    </row>
    <row r="379" spans="1:31" ht="15.6" hidden="1" customHeight="1" x14ac:dyDescent="0.3">
      <c r="A379" s="54" t="s">
        <v>18</v>
      </c>
      <c r="B379" s="54" t="s">
        <v>18</v>
      </c>
      <c r="C379" s="54" t="s">
        <v>21</v>
      </c>
      <c r="D379" s="54" t="s">
        <v>18</v>
      </c>
      <c r="E379" s="54" t="s">
        <v>21</v>
      </c>
      <c r="F379" s="54" t="s">
        <v>18</v>
      </c>
      <c r="G379" s="54" t="s">
        <v>22</v>
      </c>
      <c r="H379" s="54" t="s">
        <v>19</v>
      </c>
      <c r="I379" s="54" t="s">
        <v>24</v>
      </c>
      <c r="J379" s="54" t="s">
        <v>18</v>
      </c>
      <c r="K379" s="54" t="s">
        <v>18</v>
      </c>
      <c r="L379" s="54" t="s">
        <v>20</v>
      </c>
      <c r="M379" s="54" t="s">
        <v>37</v>
      </c>
      <c r="N379" s="54" t="s">
        <v>18</v>
      </c>
      <c r="O379" s="54" t="s">
        <v>43</v>
      </c>
      <c r="P379" s="54" t="s">
        <v>22</v>
      </c>
      <c r="Q379" s="54" t="s">
        <v>178</v>
      </c>
      <c r="R379" s="160"/>
      <c r="S379" s="63" t="s">
        <v>0</v>
      </c>
      <c r="T379" s="1">
        <v>30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59">
        <f t="shared" si="104"/>
        <v>30</v>
      </c>
      <c r="AB379" s="58">
        <v>2018</v>
      </c>
      <c r="AC379" s="9"/>
      <c r="AD379" s="101"/>
      <c r="AE379" s="101"/>
    </row>
    <row r="380" spans="1:31" ht="15.6" hidden="1" customHeight="1" x14ac:dyDescent="0.3">
      <c r="A380" s="54" t="s">
        <v>18</v>
      </c>
      <c r="B380" s="54" t="s">
        <v>18</v>
      </c>
      <c r="C380" s="54" t="s">
        <v>21</v>
      </c>
      <c r="D380" s="54" t="s">
        <v>18</v>
      </c>
      <c r="E380" s="54" t="s">
        <v>21</v>
      </c>
      <c r="F380" s="54" t="s">
        <v>18</v>
      </c>
      <c r="G380" s="54" t="s">
        <v>22</v>
      </c>
      <c r="H380" s="54" t="s">
        <v>19</v>
      </c>
      <c r="I380" s="54" t="s">
        <v>24</v>
      </c>
      <c r="J380" s="54" t="s">
        <v>18</v>
      </c>
      <c r="K380" s="54" t="s">
        <v>18</v>
      </c>
      <c r="L380" s="54" t="s">
        <v>20</v>
      </c>
      <c r="M380" s="54" t="s">
        <v>37</v>
      </c>
      <c r="N380" s="54" t="s">
        <v>18</v>
      </c>
      <c r="O380" s="54" t="s">
        <v>24</v>
      </c>
      <c r="P380" s="54" t="s">
        <v>22</v>
      </c>
      <c r="Q380" s="54" t="s">
        <v>46</v>
      </c>
      <c r="R380" s="160"/>
      <c r="S380" s="63" t="s">
        <v>0</v>
      </c>
      <c r="T380" s="1">
        <v>205.6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59">
        <f t="shared" si="104"/>
        <v>205.6</v>
      </c>
      <c r="AB380" s="58">
        <v>2018</v>
      </c>
      <c r="AC380" s="9"/>
      <c r="AD380" s="101"/>
      <c r="AE380" s="101"/>
    </row>
    <row r="381" spans="1:31" ht="15.6" hidden="1" customHeight="1" x14ac:dyDescent="0.3">
      <c r="A381" s="54" t="s">
        <v>18</v>
      </c>
      <c r="B381" s="54" t="s">
        <v>18</v>
      </c>
      <c r="C381" s="54" t="s">
        <v>21</v>
      </c>
      <c r="D381" s="54" t="s">
        <v>18</v>
      </c>
      <c r="E381" s="54" t="s">
        <v>21</v>
      </c>
      <c r="F381" s="54" t="s">
        <v>18</v>
      </c>
      <c r="G381" s="54" t="s">
        <v>22</v>
      </c>
      <c r="H381" s="54" t="s">
        <v>19</v>
      </c>
      <c r="I381" s="54" t="s">
        <v>24</v>
      </c>
      <c r="J381" s="54" t="s">
        <v>18</v>
      </c>
      <c r="K381" s="54" t="s">
        <v>18</v>
      </c>
      <c r="L381" s="54" t="s">
        <v>20</v>
      </c>
      <c r="M381" s="54" t="s">
        <v>37</v>
      </c>
      <c r="N381" s="54" t="s">
        <v>18</v>
      </c>
      <c r="O381" s="54" t="s">
        <v>24</v>
      </c>
      <c r="P381" s="54" t="s">
        <v>22</v>
      </c>
      <c r="Q381" s="54" t="s">
        <v>39</v>
      </c>
      <c r="R381" s="160"/>
      <c r="S381" s="63" t="s">
        <v>0</v>
      </c>
      <c r="T381" s="1">
        <v>352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59">
        <f t="shared" si="104"/>
        <v>352</v>
      </c>
      <c r="AB381" s="58">
        <v>2018</v>
      </c>
      <c r="AC381" s="9"/>
      <c r="AD381" s="101"/>
      <c r="AE381" s="101"/>
    </row>
    <row r="382" spans="1:31" ht="31.2" hidden="1" customHeight="1" x14ac:dyDescent="0.3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80" t="s">
        <v>232</v>
      </c>
      <c r="S382" s="84" t="s">
        <v>175</v>
      </c>
      <c r="T382" s="3">
        <v>356.5</v>
      </c>
      <c r="U382" s="3">
        <v>0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6">
        <f t="shared" si="104"/>
        <v>356.5</v>
      </c>
      <c r="AB382" s="41">
        <v>2018</v>
      </c>
      <c r="AC382" s="9"/>
      <c r="AD382" s="101"/>
      <c r="AE382" s="101"/>
    </row>
    <row r="383" spans="1:31" ht="15.6" hidden="1" customHeight="1" x14ac:dyDescent="0.3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160" t="s">
        <v>233</v>
      </c>
      <c r="S383" s="63" t="s">
        <v>0</v>
      </c>
      <c r="T383" s="1">
        <f>SUM(T384:T387)</f>
        <v>695.4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59">
        <f t="shared" si="104"/>
        <v>695.4</v>
      </c>
      <c r="AB383" s="58">
        <v>2018</v>
      </c>
      <c r="AC383" s="9"/>
      <c r="AD383" s="101"/>
      <c r="AE383" s="101"/>
    </row>
    <row r="384" spans="1:31" ht="15.6" hidden="1" customHeight="1" x14ac:dyDescent="0.3">
      <c r="A384" s="54" t="s">
        <v>18</v>
      </c>
      <c r="B384" s="54" t="s">
        <v>18</v>
      </c>
      <c r="C384" s="54" t="s">
        <v>21</v>
      </c>
      <c r="D384" s="54" t="s">
        <v>18</v>
      </c>
      <c r="E384" s="54" t="s">
        <v>21</v>
      </c>
      <c r="F384" s="54" t="s">
        <v>18</v>
      </c>
      <c r="G384" s="54" t="s">
        <v>22</v>
      </c>
      <c r="H384" s="54" t="s">
        <v>19</v>
      </c>
      <c r="I384" s="54" t="s">
        <v>24</v>
      </c>
      <c r="J384" s="54" t="s">
        <v>18</v>
      </c>
      <c r="K384" s="54" t="s">
        <v>18</v>
      </c>
      <c r="L384" s="54" t="s">
        <v>20</v>
      </c>
      <c r="M384" s="54" t="s">
        <v>19</v>
      </c>
      <c r="N384" s="54" t="s">
        <v>18</v>
      </c>
      <c r="O384" s="54" t="s">
        <v>24</v>
      </c>
      <c r="P384" s="54" t="s">
        <v>22</v>
      </c>
      <c r="Q384" s="54" t="s">
        <v>45</v>
      </c>
      <c r="R384" s="160"/>
      <c r="S384" s="63" t="s">
        <v>0</v>
      </c>
      <c r="T384" s="1">
        <v>278.2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59">
        <f t="shared" si="104"/>
        <v>278.2</v>
      </c>
      <c r="AB384" s="58">
        <v>2018</v>
      </c>
      <c r="AC384" s="9"/>
      <c r="AD384" s="101"/>
      <c r="AE384" s="101"/>
    </row>
    <row r="385" spans="1:31" ht="15.6" hidden="1" customHeight="1" x14ac:dyDescent="0.3">
      <c r="A385" s="54" t="s">
        <v>18</v>
      </c>
      <c r="B385" s="54" t="s">
        <v>18</v>
      </c>
      <c r="C385" s="54" t="s">
        <v>21</v>
      </c>
      <c r="D385" s="54" t="s">
        <v>18</v>
      </c>
      <c r="E385" s="54" t="s">
        <v>21</v>
      </c>
      <c r="F385" s="54" t="s">
        <v>18</v>
      </c>
      <c r="G385" s="54" t="s">
        <v>22</v>
      </c>
      <c r="H385" s="54" t="s">
        <v>19</v>
      </c>
      <c r="I385" s="54" t="s">
        <v>24</v>
      </c>
      <c r="J385" s="54" t="s">
        <v>18</v>
      </c>
      <c r="K385" s="54" t="s">
        <v>18</v>
      </c>
      <c r="L385" s="54" t="s">
        <v>20</v>
      </c>
      <c r="M385" s="54" t="s">
        <v>37</v>
      </c>
      <c r="N385" s="54" t="s">
        <v>18</v>
      </c>
      <c r="O385" s="54" t="s">
        <v>43</v>
      </c>
      <c r="P385" s="54" t="s">
        <v>22</v>
      </c>
      <c r="Q385" s="54" t="s">
        <v>178</v>
      </c>
      <c r="R385" s="160"/>
      <c r="S385" s="63" t="s">
        <v>0</v>
      </c>
      <c r="T385" s="1">
        <v>20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59">
        <f t="shared" si="104"/>
        <v>20</v>
      </c>
      <c r="AB385" s="58">
        <v>2018</v>
      </c>
      <c r="AC385" s="9"/>
      <c r="AD385" s="101"/>
      <c r="AE385" s="101"/>
    </row>
    <row r="386" spans="1:31" ht="15.6" hidden="1" customHeight="1" x14ac:dyDescent="0.3">
      <c r="A386" s="54" t="s">
        <v>18</v>
      </c>
      <c r="B386" s="54" t="s">
        <v>18</v>
      </c>
      <c r="C386" s="54" t="s">
        <v>21</v>
      </c>
      <c r="D386" s="54" t="s">
        <v>18</v>
      </c>
      <c r="E386" s="54" t="s">
        <v>21</v>
      </c>
      <c r="F386" s="54" t="s">
        <v>18</v>
      </c>
      <c r="G386" s="54" t="s">
        <v>22</v>
      </c>
      <c r="H386" s="54" t="s">
        <v>19</v>
      </c>
      <c r="I386" s="54" t="s">
        <v>24</v>
      </c>
      <c r="J386" s="54" t="s">
        <v>18</v>
      </c>
      <c r="K386" s="54" t="s">
        <v>18</v>
      </c>
      <c r="L386" s="54" t="s">
        <v>20</v>
      </c>
      <c r="M386" s="54" t="s">
        <v>37</v>
      </c>
      <c r="N386" s="54" t="s">
        <v>18</v>
      </c>
      <c r="O386" s="54" t="s">
        <v>24</v>
      </c>
      <c r="P386" s="54" t="s">
        <v>22</v>
      </c>
      <c r="Q386" s="54" t="s">
        <v>46</v>
      </c>
      <c r="R386" s="160"/>
      <c r="S386" s="63" t="s">
        <v>0</v>
      </c>
      <c r="T386" s="1">
        <v>104.3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59">
        <f t="shared" si="104"/>
        <v>104.3</v>
      </c>
      <c r="AB386" s="58">
        <v>2018</v>
      </c>
      <c r="AC386" s="9"/>
      <c r="AD386" s="101"/>
      <c r="AE386" s="101"/>
    </row>
    <row r="387" spans="1:31" ht="15.6" hidden="1" customHeight="1" x14ac:dyDescent="0.3">
      <c r="A387" s="54" t="s">
        <v>18</v>
      </c>
      <c r="B387" s="54" t="s">
        <v>18</v>
      </c>
      <c r="C387" s="54" t="s">
        <v>21</v>
      </c>
      <c r="D387" s="54" t="s">
        <v>18</v>
      </c>
      <c r="E387" s="54" t="s">
        <v>21</v>
      </c>
      <c r="F387" s="54" t="s">
        <v>18</v>
      </c>
      <c r="G387" s="54" t="s">
        <v>22</v>
      </c>
      <c r="H387" s="54" t="s">
        <v>19</v>
      </c>
      <c r="I387" s="54" t="s">
        <v>24</v>
      </c>
      <c r="J387" s="54" t="s">
        <v>18</v>
      </c>
      <c r="K387" s="54" t="s">
        <v>18</v>
      </c>
      <c r="L387" s="54" t="s">
        <v>20</v>
      </c>
      <c r="M387" s="54" t="s">
        <v>37</v>
      </c>
      <c r="N387" s="54" t="s">
        <v>18</v>
      </c>
      <c r="O387" s="54" t="s">
        <v>24</v>
      </c>
      <c r="P387" s="54" t="s">
        <v>22</v>
      </c>
      <c r="Q387" s="54" t="s">
        <v>39</v>
      </c>
      <c r="R387" s="160"/>
      <c r="S387" s="63" t="s">
        <v>0</v>
      </c>
      <c r="T387" s="1">
        <v>292.89999999999998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59">
        <f t="shared" si="104"/>
        <v>292.89999999999998</v>
      </c>
      <c r="AB387" s="58">
        <v>2018</v>
      </c>
      <c r="AC387" s="9"/>
      <c r="AD387" s="101"/>
      <c r="AE387" s="101"/>
    </row>
    <row r="388" spans="1:31" ht="31.2" hidden="1" customHeight="1" x14ac:dyDescent="0.3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78" t="s">
        <v>234</v>
      </c>
      <c r="S388" s="89" t="s">
        <v>180</v>
      </c>
      <c r="T388" s="3">
        <v>190</v>
      </c>
      <c r="U388" s="3">
        <v>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6">
        <f t="shared" si="104"/>
        <v>190</v>
      </c>
      <c r="AB388" s="41">
        <v>2018</v>
      </c>
      <c r="AC388" s="9"/>
      <c r="AD388" s="101"/>
      <c r="AE388" s="101"/>
    </row>
    <row r="389" spans="1:31" ht="15.6" hidden="1" customHeight="1" x14ac:dyDescent="0.3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160" t="s">
        <v>235</v>
      </c>
      <c r="S389" s="63" t="s">
        <v>0</v>
      </c>
      <c r="T389" s="1">
        <f>SUM(T390:T394)</f>
        <v>836.4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59">
        <f t="shared" si="104"/>
        <v>836.4</v>
      </c>
      <c r="AB389" s="58">
        <v>2018</v>
      </c>
      <c r="AC389" s="9"/>
      <c r="AD389" s="101"/>
      <c r="AE389" s="101"/>
    </row>
    <row r="390" spans="1:31" ht="15.6" hidden="1" customHeight="1" x14ac:dyDescent="0.3">
      <c r="A390" s="54" t="s">
        <v>18</v>
      </c>
      <c r="B390" s="54" t="s">
        <v>18</v>
      </c>
      <c r="C390" s="54" t="s">
        <v>21</v>
      </c>
      <c r="D390" s="54" t="s">
        <v>18</v>
      </c>
      <c r="E390" s="54" t="s">
        <v>21</v>
      </c>
      <c r="F390" s="54" t="s">
        <v>18</v>
      </c>
      <c r="G390" s="54" t="s">
        <v>22</v>
      </c>
      <c r="H390" s="54" t="s">
        <v>19</v>
      </c>
      <c r="I390" s="54" t="s">
        <v>24</v>
      </c>
      <c r="J390" s="54" t="s">
        <v>18</v>
      </c>
      <c r="K390" s="54" t="s">
        <v>18</v>
      </c>
      <c r="L390" s="54" t="s">
        <v>20</v>
      </c>
      <c r="M390" s="54" t="s">
        <v>19</v>
      </c>
      <c r="N390" s="54" t="s">
        <v>18</v>
      </c>
      <c r="O390" s="54" t="s">
        <v>24</v>
      </c>
      <c r="P390" s="54" t="s">
        <v>22</v>
      </c>
      <c r="Q390" s="54" t="s">
        <v>45</v>
      </c>
      <c r="R390" s="160"/>
      <c r="S390" s="63" t="s">
        <v>0</v>
      </c>
      <c r="T390" s="1">
        <v>334.5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59">
        <f t="shared" si="104"/>
        <v>334.5</v>
      </c>
      <c r="AB390" s="58">
        <v>2018</v>
      </c>
      <c r="AC390" s="9"/>
      <c r="AD390" s="101"/>
      <c r="AE390" s="101"/>
    </row>
    <row r="391" spans="1:31" ht="15.6" hidden="1" customHeight="1" x14ac:dyDescent="0.3">
      <c r="A391" s="54" t="s">
        <v>18</v>
      </c>
      <c r="B391" s="54" t="s">
        <v>18</v>
      </c>
      <c r="C391" s="54" t="s">
        <v>21</v>
      </c>
      <c r="D391" s="54" t="s">
        <v>18</v>
      </c>
      <c r="E391" s="54" t="s">
        <v>21</v>
      </c>
      <c r="F391" s="54" t="s">
        <v>18</v>
      </c>
      <c r="G391" s="54" t="s">
        <v>22</v>
      </c>
      <c r="H391" s="54" t="s">
        <v>19</v>
      </c>
      <c r="I391" s="54" t="s">
        <v>24</v>
      </c>
      <c r="J391" s="54" t="s">
        <v>18</v>
      </c>
      <c r="K391" s="54" t="s">
        <v>18</v>
      </c>
      <c r="L391" s="54" t="s">
        <v>20</v>
      </c>
      <c r="M391" s="54" t="s">
        <v>19</v>
      </c>
      <c r="N391" s="54" t="s">
        <v>18</v>
      </c>
      <c r="O391" s="54" t="s">
        <v>43</v>
      </c>
      <c r="P391" s="54" t="s">
        <v>22</v>
      </c>
      <c r="Q391" s="54" t="s">
        <v>178</v>
      </c>
      <c r="R391" s="160"/>
      <c r="S391" s="63" t="s">
        <v>0</v>
      </c>
      <c r="T391" s="1">
        <v>30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59">
        <f>SUM(T391:Y391)</f>
        <v>30</v>
      </c>
      <c r="AB391" s="58">
        <v>2018</v>
      </c>
      <c r="AC391" s="9"/>
      <c r="AD391" s="101"/>
      <c r="AE391" s="101"/>
    </row>
    <row r="392" spans="1:31" ht="15.6" hidden="1" customHeight="1" x14ac:dyDescent="0.3">
      <c r="A392" s="54" t="s">
        <v>18</v>
      </c>
      <c r="B392" s="54" t="s">
        <v>18</v>
      </c>
      <c r="C392" s="54" t="s">
        <v>21</v>
      </c>
      <c r="D392" s="54" t="s">
        <v>18</v>
      </c>
      <c r="E392" s="54" t="s">
        <v>21</v>
      </c>
      <c r="F392" s="54" t="s">
        <v>18</v>
      </c>
      <c r="G392" s="54" t="s">
        <v>22</v>
      </c>
      <c r="H392" s="54" t="s">
        <v>19</v>
      </c>
      <c r="I392" s="54" t="s">
        <v>24</v>
      </c>
      <c r="J392" s="54" t="s">
        <v>18</v>
      </c>
      <c r="K392" s="54" t="s">
        <v>18</v>
      </c>
      <c r="L392" s="54" t="s">
        <v>20</v>
      </c>
      <c r="M392" s="54" t="s">
        <v>37</v>
      </c>
      <c r="N392" s="54" t="s">
        <v>18</v>
      </c>
      <c r="O392" s="54" t="s">
        <v>24</v>
      </c>
      <c r="P392" s="54" t="s">
        <v>22</v>
      </c>
      <c r="Q392" s="54" t="s">
        <v>46</v>
      </c>
      <c r="R392" s="160"/>
      <c r="S392" s="63" t="s">
        <v>0</v>
      </c>
      <c r="T392" s="1">
        <v>16.399999999999999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59">
        <f t="shared" si="104"/>
        <v>16.399999999999999</v>
      </c>
      <c r="AB392" s="58">
        <v>2018</v>
      </c>
      <c r="AC392" s="9"/>
      <c r="AD392" s="101"/>
      <c r="AE392" s="101"/>
    </row>
    <row r="393" spans="1:31" ht="15.6" hidden="1" customHeight="1" x14ac:dyDescent="0.3">
      <c r="A393" s="54" t="s">
        <v>18</v>
      </c>
      <c r="B393" s="54" t="s">
        <v>18</v>
      </c>
      <c r="C393" s="54" t="s">
        <v>21</v>
      </c>
      <c r="D393" s="54" t="s">
        <v>18</v>
      </c>
      <c r="E393" s="54" t="s">
        <v>21</v>
      </c>
      <c r="F393" s="54" t="s">
        <v>18</v>
      </c>
      <c r="G393" s="54" t="s">
        <v>22</v>
      </c>
      <c r="H393" s="54" t="s">
        <v>19</v>
      </c>
      <c r="I393" s="54" t="s">
        <v>24</v>
      </c>
      <c r="J393" s="54" t="s">
        <v>18</v>
      </c>
      <c r="K393" s="54" t="s">
        <v>18</v>
      </c>
      <c r="L393" s="54" t="s">
        <v>20</v>
      </c>
      <c r="M393" s="54" t="s">
        <v>37</v>
      </c>
      <c r="N393" s="54" t="s">
        <v>18</v>
      </c>
      <c r="O393" s="54" t="s">
        <v>24</v>
      </c>
      <c r="P393" s="54" t="s">
        <v>22</v>
      </c>
      <c r="Q393" s="54" t="s">
        <v>46</v>
      </c>
      <c r="R393" s="160"/>
      <c r="S393" s="63" t="s">
        <v>0</v>
      </c>
      <c r="T393" s="1">
        <v>125.5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59">
        <f t="shared" si="104"/>
        <v>125.5</v>
      </c>
      <c r="AB393" s="58">
        <v>2018</v>
      </c>
      <c r="AC393" s="9"/>
      <c r="AD393" s="101"/>
      <c r="AE393" s="101"/>
    </row>
    <row r="394" spans="1:31" ht="15.6" hidden="1" customHeight="1" x14ac:dyDescent="0.3">
      <c r="A394" s="54" t="s">
        <v>18</v>
      </c>
      <c r="B394" s="54" t="s">
        <v>18</v>
      </c>
      <c r="C394" s="54" t="s">
        <v>21</v>
      </c>
      <c r="D394" s="54" t="s">
        <v>18</v>
      </c>
      <c r="E394" s="54" t="s">
        <v>21</v>
      </c>
      <c r="F394" s="54" t="s">
        <v>18</v>
      </c>
      <c r="G394" s="54" t="s">
        <v>22</v>
      </c>
      <c r="H394" s="54" t="s">
        <v>19</v>
      </c>
      <c r="I394" s="54" t="s">
        <v>24</v>
      </c>
      <c r="J394" s="54" t="s">
        <v>18</v>
      </c>
      <c r="K394" s="54" t="s">
        <v>18</v>
      </c>
      <c r="L394" s="54" t="s">
        <v>20</v>
      </c>
      <c r="M394" s="54" t="s">
        <v>37</v>
      </c>
      <c r="N394" s="54" t="s">
        <v>18</v>
      </c>
      <c r="O394" s="54" t="s">
        <v>24</v>
      </c>
      <c r="P394" s="54" t="s">
        <v>22</v>
      </c>
      <c r="Q394" s="54" t="s">
        <v>39</v>
      </c>
      <c r="R394" s="160"/>
      <c r="S394" s="63" t="s">
        <v>0</v>
      </c>
      <c r="T394" s="1">
        <v>330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59">
        <f t="shared" si="104"/>
        <v>330</v>
      </c>
      <c r="AB394" s="58">
        <v>2018</v>
      </c>
      <c r="AC394" s="9"/>
      <c r="AD394" s="101"/>
      <c r="AE394" s="101"/>
    </row>
    <row r="395" spans="1:31" ht="27.6" hidden="1" customHeight="1" x14ac:dyDescent="0.3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88" t="s">
        <v>236</v>
      </c>
      <c r="S395" s="84" t="s">
        <v>8</v>
      </c>
      <c r="T395" s="44">
        <v>1</v>
      </c>
      <c r="U395" s="44">
        <v>0</v>
      </c>
      <c r="V395" s="44">
        <v>0</v>
      </c>
      <c r="W395" s="44">
        <v>0</v>
      </c>
      <c r="X395" s="44">
        <v>0</v>
      </c>
      <c r="Y395" s="44">
        <v>0</v>
      </c>
      <c r="Z395" s="44">
        <v>0</v>
      </c>
      <c r="AA395" s="6">
        <f t="shared" si="104"/>
        <v>1</v>
      </c>
      <c r="AB395" s="41">
        <v>2018</v>
      </c>
      <c r="AC395" s="9"/>
      <c r="AD395" s="101"/>
      <c r="AE395" s="101"/>
    </row>
    <row r="396" spans="1:31" ht="15.6" customHeight="1" x14ac:dyDescent="0.3">
      <c r="A396" s="54" t="s">
        <v>18</v>
      </c>
      <c r="B396" s="54" t="s">
        <v>18</v>
      </c>
      <c r="C396" s="54" t="s">
        <v>25</v>
      </c>
      <c r="D396" s="54" t="s">
        <v>18</v>
      </c>
      <c r="E396" s="54" t="s">
        <v>18</v>
      </c>
      <c r="F396" s="54" t="s">
        <v>18</v>
      </c>
      <c r="G396" s="54" t="s">
        <v>18</v>
      </c>
      <c r="H396" s="54" t="s">
        <v>19</v>
      </c>
      <c r="I396" s="54" t="s">
        <v>24</v>
      </c>
      <c r="J396" s="54" t="s">
        <v>18</v>
      </c>
      <c r="K396" s="54" t="s">
        <v>18</v>
      </c>
      <c r="L396" s="54" t="s">
        <v>20</v>
      </c>
      <c r="M396" s="54" t="s">
        <v>18</v>
      </c>
      <c r="N396" s="54" t="s">
        <v>18</v>
      </c>
      <c r="O396" s="54" t="s">
        <v>18</v>
      </c>
      <c r="P396" s="54" t="s">
        <v>18</v>
      </c>
      <c r="Q396" s="54" t="s">
        <v>18</v>
      </c>
      <c r="R396" s="160" t="s">
        <v>140</v>
      </c>
      <c r="S396" s="63" t="s">
        <v>0</v>
      </c>
      <c r="T396" s="59">
        <f>SUM(T397:T399)</f>
        <v>6913.9150000000009</v>
      </c>
      <c r="U396" s="59">
        <f>SUM(U397:U401)</f>
        <v>3765.5</v>
      </c>
      <c r="V396" s="59">
        <f>SUM(V397:V401)</f>
        <v>1745.5</v>
      </c>
      <c r="W396" s="59">
        <v>0</v>
      </c>
      <c r="X396" s="59">
        <v>0</v>
      </c>
      <c r="Y396" s="59">
        <v>0</v>
      </c>
      <c r="Z396" s="59">
        <v>0</v>
      </c>
      <c r="AA396" s="59">
        <f t="shared" ref="AA396:AA404" si="105">SUM(T396:Y396)</f>
        <v>12424.915000000001</v>
      </c>
      <c r="AB396" s="58">
        <v>2020</v>
      </c>
      <c r="AC396" s="124"/>
      <c r="AD396" s="101"/>
      <c r="AE396" s="101"/>
    </row>
    <row r="397" spans="1:31" x14ac:dyDescent="0.3">
      <c r="A397" s="54" t="s">
        <v>18</v>
      </c>
      <c r="B397" s="54" t="s">
        <v>18</v>
      </c>
      <c r="C397" s="54" t="s">
        <v>25</v>
      </c>
      <c r="D397" s="54" t="s">
        <v>18</v>
      </c>
      <c r="E397" s="54" t="s">
        <v>18</v>
      </c>
      <c r="F397" s="54" t="s">
        <v>18</v>
      </c>
      <c r="G397" s="54" t="s">
        <v>18</v>
      </c>
      <c r="H397" s="54" t="s">
        <v>19</v>
      </c>
      <c r="I397" s="54" t="s">
        <v>24</v>
      </c>
      <c r="J397" s="54" t="s">
        <v>18</v>
      </c>
      <c r="K397" s="54" t="s">
        <v>18</v>
      </c>
      <c r="L397" s="54" t="s">
        <v>20</v>
      </c>
      <c r="M397" s="54" t="s">
        <v>19</v>
      </c>
      <c r="N397" s="54" t="s">
        <v>18</v>
      </c>
      <c r="O397" s="54" t="s">
        <v>24</v>
      </c>
      <c r="P397" s="54" t="s">
        <v>22</v>
      </c>
      <c r="Q397" s="54" t="s">
        <v>45</v>
      </c>
      <c r="R397" s="160"/>
      <c r="S397" s="63" t="s">
        <v>0</v>
      </c>
      <c r="T397" s="1">
        <f>T406+T412+T418+T424+T430+T436+T441+T447+T453+T459+T465</f>
        <v>2886.915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59">
        <f t="shared" si="105"/>
        <v>2886.915</v>
      </c>
      <c r="AB397" s="58">
        <v>2018</v>
      </c>
      <c r="AC397" s="124"/>
      <c r="AD397" s="101"/>
      <c r="AE397" s="101"/>
    </row>
    <row r="398" spans="1:31" x14ac:dyDescent="0.3">
      <c r="A398" s="54" t="s">
        <v>18</v>
      </c>
      <c r="B398" s="54" t="s">
        <v>18</v>
      </c>
      <c r="C398" s="54" t="s">
        <v>25</v>
      </c>
      <c r="D398" s="54" t="s">
        <v>18</v>
      </c>
      <c r="E398" s="54" t="s">
        <v>18</v>
      </c>
      <c r="F398" s="54" t="s">
        <v>18</v>
      </c>
      <c r="G398" s="54" t="s">
        <v>18</v>
      </c>
      <c r="H398" s="54" t="s">
        <v>19</v>
      </c>
      <c r="I398" s="54" t="s">
        <v>24</v>
      </c>
      <c r="J398" s="54" t="s">
        <v>18</v>
      </c>
      <c r="K398" s="54" t="s">
        <v>18</v>
      </c>
      <c r="L398" s="54" t="s">
        <v>20</v>
      </c>
      <c r="M398" s="54" t="s">
        <v>37</v>
      </c>
      <c r="N398" s="54" t="s">
        <v>18</v>
      </c>
      <c r="O398" s="54" t="s">
        <v>24</v>
      </c>
      <c r="P398" s="54" t="s">
        <v>22</v>
      </c>
      <c r="Q398" s="54" t="s">
        <v>46</v>
      </c>
      <c r="R398" s="160"/>
      <c r="S398" s="63" t="s">
        <v>0</v>
      </c>
      <c r="T398" s="1">
        <f>T407+T408+T413+T414+T419+T420+T425+T426+T431+T432+T437+T442+T443+T448+T449+T454+T455+T460+T461+T466+T467</f>
        <v>1641.4</v>
      </c>
      <c r="U398" s="1">
        <v>868</v>
      </c>
      <c r="V398" s="1">
        <v>501.9</v>
      </c>
      <c r="W398" s="1">
        <v>0</v>
      </c>
      <c r="X398" s="1">
        <v>0</v>
      </c>
      <c r="Y398" s="1">
        <v>0</v>
      </c>
      <c r="Z398" s="1">
        <v>0</v>
      </c>
      <c r="AA398" s="59">
        <f t="shared" si="105"/>
        <v>3011.3</v>
      </c>
      <c r="AB398" s="58">
        <v>2020</v>
      </c>
      <c r="AC398" s="124"/>
      <c r="AD398" s="101"/>
      <c r="AE398" s="101"/>
    </row>
    <row r="399" spans="1:31" x14ac:dyDescent="0.3">
      <c r="A399" s="54" t="s">
        <v>18</v>
      </c>
      <c r="B399" s="54" t="s">
        <v>18</v>
      </c>
      <c r="C399" s="54" t="s">
        <v>25</v>
      </c>
      <c r="D399" s="54" t="s">
        <v>18</v>
      </c>
      <c r="E399" s="54" t="s">
        <v>18</v>
      </c>
      <c r="F399" s="54" t="s">
        <v>18</v>
      </c>
      <c r="G399" s="54" t="s">
        <v>18</v>
      </c>
      <c r="H399" s="54" t="s">
        <v>19</v>
      </c>
      <c r="I399" s="54" t="s">
        <v>24</v>
      </c>
      <c r="J399" s="54" t="s">
        <v>18</v>
      </c>
      <c r="K399" s="54" t="s">
        <v>18</v>
      </c>
      <c r="L399" s="54" t="s">
        <v>20</v>
      </c>
      <c r="M399" s="54" t="s">
        <v>37</v>
      </c>
      <c r="N399" s="54" t="s">
        <v>18</v>
      </c>
      <c r="O399" s="54" t="s">
        <v>24</v>
      </c>
      <c r="P399" s="54" t="s">
        <v>22</v>
      </c>
      <c r="Q399" s="54" t="s">
        <v>39</v>
      </c>
      <c r="R399" s="160"/>
      <c r="S399" s="63" t="s">
        <v>0</v>
      </c>
      <c r="T399" s="1">
        <v>2385.6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59">
        <f t="shared" si="105"/>
        <v>2385.6</v>
      </c>
      <c r="AB399" s="58">
        <v>2018</v>
      </c>
      <c r="AC399" s="124"/>
      <c r="AD399" s="101"/>
      <c r="AE399" s="101"/>
    </row>
    <row r="400" spans="1:31" x14ac:dyDescent="0.3">
      <c r="A400" s="54" t="s">
        <v>18</v>
      </c>
      <c r="B400" s="54" t="s">
        <v>18</v>
      </c>
      <c r="C400" s="54" t="s">
        <v>25</v>
      </c>
      <c r="D400" s="54" t="s">
        <v>18</v>
      </c>
      <c r="E400" s="54" t="s">
        <v>18</v>
      </c>
      <c r="F400" s="54" t="s">
        <v>18</v>
      </c>
      <c r="G400" s="54" t="s">
        <v>18</v>
      </c>
      <c r="H400" s="54" t="s">
        <v>19</v>
      </c>
      <c r="I400" s="54" t="s">
        <v>24</v>
      </c>
      <c r="J400" s="54" t="s">
        <v>18</v>
      </c>
      <c r="K400" s="54" t="s">
        <v>18</v>
      </c>
      <c r="L400" s="54" t="s">
        <v>20</v>
      </c>
      <c r="M400" s="54" t="s">
        <v>19</v>
      </c>
      <c r="N400" s="54" t="s">
        <v>18</v>
      </c>
      <c r="O400" s="54" t="s">
        <v>24</v>
      </c>
      <c r="P400" s="54" t="s">
        <v>22</v>
      </c>
      <c r="Q400" s="54" t="s">
        <v>18</v>
      </c>
      <c r="R400" s="160"/>
      <c r="S400" s="63" t="s">
        <v>0</v>
      </c>
      <c r="T400" s="1">
        <v>0</v>
      </c>
      <c r="U400" s="1">
        <f>1977-1.3</f>
        <v>1975.7</v>
      </c>
      <c r="V400" s="1">
        <f>968.2-585.9</f>
        <v>382.30000000000007</v>
      </c>
      <c r="W400" s="1">
        <v>0</v>
      </c>
      <c r="X400" s="1">
        <v>0</v>
      </c>
      <c r="Y400" s="1">
        <v>0</v>
      </c>
      <c r="Z400" s="1">
        <v>0</v>
      </c>
      <c r="AA400" s="59">
        <f t="shared" si="105"/>
        <v>2358</v>
      </c>
      <c r="AB400" s="58">
        <v>2020</v>
      </c>
      <c r="AC400" s="124"/>
      <c r="AD400" s="101"/>
      <c r="AE400" s="101"/>
    </row>
    <row r="401" spans="1:31" x14ac:dyDescent="0.3">
      <c r="A401" s="54" t="s">
        <v>18</v>
      </c>
      <c r="B401" s="54" t="s">
        <v>18</v>
      </c>
      <c r="C401" s="54" t="s">
        <v>25</v>
      </c>
      <c r="D401" s="54" t="s">
        <v>18</v>
      </c>
      <c r="E401" s="54" t="s">
        <v>18</v>
      </c>
      <c r="F401" s="54" t="s">
        <v>18</v>
      </c>
      <c r="G401" s="54" t="s">
        <v>18</v>
      </c>
      <c r="H401" s="54" t="s">
        <v>19</v>
      </c>
      <c r="I401" s="54" t="s">
        <v>24</v>
      </c>
      <c r="J401" s="54" t="s">
        <v>18</v>
      </c>
      <c r="K401" s="54" t="s">
        <v>18</v>
      </c>
      <c r="L401" s="54" t="s">
        <v>20</v>
      </c>
      <c r="M401" s="54" t="s">
        <v>37</v>
      </c>
      <c r="N401" s="54" t="s">
        <v>18</v>
      </c>
      <c r="O401" s="54" t="s">
        <v>24</v>
      </c>
      <c r="P401" s="54" t="s">
        <v>22</v>
      </c>
      <c r="Q401" s="54" t="s">
        <v>18</v>
      </c>
      <c r="R401" s="160"/>
      <c r="S401" s="63" t="s">
        <v>0</v>
      </c>
      <c r="T401" s="1">
        <v>0</v>
      </c>
      <c r="U401" s="1">
        <f>1119.1-197.3</f>
        <v>921.8</v>
      </c>
      <c r="V401" s="1">
        <f>466.5+457.8-63</f>
        <v>861.3</v>
      </c>
      <c r="W401" s="1">
        <v>0</v>
      </c>
      <c r="X401" s="1">
        <v>0</v>
      </c>
      <c r="Y401" s="1">
        <v>0</v>
      </c>
      <c r="Z401" s="1">
        <v>0</v>
      </c>
      <c r="AA401" s="59">
        <f t="shared" ref="AA401" si="106">SUM(T401:Y401)</f>
        <v>1783.1</v>
      </c>
      <c r="AB401" s="58">
        <v>2020</v>
      </c>
      <c r="AC401" s="124"/>
      <c r="AD401" s="101"/>
      <c r="AE401" s="101"/>
    </row>
    <row r="402" spans="1:31" ht="46.8" x14ac:dyDescent="0.3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80" t="s">
        <v>314</v>
      </c>
      <c r="S402" s="62" t="s">
        <v>52</v>
      </c>
      <c r="T402" s="3">
        <v>1.5</v>
      </c>
      <c r="U402" s="3">
        <v>0.8</v>
      </c>
      <c r="V402" s="3">
        <v>0.6</v>
      </c>
      <c r="W402" s="3">
        <v>0</v>
      </c>
      <c r="X402" s="3">
        <v>0</v>
      </c>
      <c r="Y402" s="3">
        <v>0</v>
      </c>
      <c r="Z402" s="3">
        <v>0</v>
      </c>
      <c r="AA402" s="6">
        <f t="shared" si="105"/>
        <v>2.9</v>
      </c>
      <c r="AB402" s="41">
        <v>2020</v>
      </c>
      <c r="AC402" s="128"/>
      <c r="AD402" s="101"/>
      <c r="AE402" s="101"/>
    </row>
    <row r="403" spans="1:31" ht="46.95" hidden="1" customHeight="1" x14ac:dyDescent="0.3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80" t="s">
        <v>182</v>
      </c>
      <c r="S403" s="84" t="s">
        <v>181</v>
      </c>
      <c r="T403" s="3"/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6">
        <f t="shared" si="105"/>
        <v>0</v>
      </c>
      <c r="AB403" s="41">
        <v>2018</v>
      </c>
      <c r="AC403" s="128"/>
      <c r="AD403" s="101"/>
      <c r="AE403" s="101"/>
    </row>
    <row r="404" spans="1:31" ht="46.8" x14ac:dyDescent="0.3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80" t="s">
        <v>315</v>
      </c>
      <c r="S404" s="84" t="s">
        <v>50</v>
      </c>
      <c r="T404" s="44">
        <v>10</v>
      </c>
      <c r="U404" s="44">
        <v>5</v>
      </c>
      <c r="V404" s="44">
        <v>2</v>
      </c>
      <c r="W404" s="44">
        <v>0</v>
      </c>
      <c r="X404" s="44">
        <v>0</v>
      </c>
      <c r="Y404" s="44">
        <v>0</v>
      </c>
      <c r="Z404" s="44">
        <v>0</v>
      </c>
      <c r="AA404" s="49">
        <f t="shared" si="105"/>
        <v>17</v>
      </c>
      <c r="AB404" s="41">
        <v>2020</v>
      </c>
      <c r="AC404" s="128"/>
      <c r="AD404" s="101"/>
      <c r="AE404" s="101"/>
    </row>
    <row r="405" spans="1:31" ht="15.6" hidden="1" customHeight="1" x14ac:dyDescent="0.3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160" t="s">
        <v>239</v>
      </c>
      <c r="S405" s="63" t="s">
        <v>0</v>
      </c>
      <c r="T405" s="1">
        <f>SUM(T406:T409)</f>
        <v>721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/>
      <c r="AA405" s="59">
        <f t="shared" ref="AA405:AA468" si="107">SUM(T405:Y405)</f>
        <v>721</v>
      </c>
      <c r="AB405" s="58">
        <v>2018</v>
      </c>
      <c r="AC405" s="9"/>
      <c r="AD405" s="101"/>
      <c r="AE405" s="101"/>
    </row>
    <row r="406" spans="1:31" ht="15.6" hidden="1" customHeight="1" x14ac:dyDescent="0.3">
      <c r="A406" s="54" t="s">
        <v>18</v>
      </c>
      <c r="B406" s="54" t="s">
        <v>18</v>
      </c>
      <c r="C406" s="54" t="s">
        <v>25</v>
      </c>
      <c r="D406" s="54" t="s">
        <v>18</v>
      </c>
      <c r="E406" s="54" t="s">
        <v>21</v>
      </c>
      <c r="F406" s="54" t="s">
        <v>18</v>
      </c>
      <c r="G406" s="54" t="s">
        <v>22</v>
      </c>
      <c r="H406" s="54" t="s">
        <v>19</v>
      </c>
      <c r="I406" s="54" t="s">
        <v>24</v>
      </c>
      <c r="J406" s="54" t="s">
        <v>18</v>
      </c>
      <c r="K406" s="54" t="s">
        <v>18</v>
      </c>
      <c r="L406" s="54" t="s">
        <v>20</v>
      </c>
      <c r="M406" s="54" t="s">
        <v>19</v>
      </c>
      <c r="N406" s="54" t="s">
        <v>18</v>
      </c>
      <c r="O406" s="54" t="s">
        <v>24</v>
      </c>
      <c r="P406" s="54" t="s">
        <v>22</v>
      </c>
      <c r="Q406" s="54" t="s">
        <v>45</v>
      </c>
      <c r="R406" s="160"/>
      <c r="S406" s="63" t="s">
        <v>0</v>
      </c>
      <c r="T406" s="1">
        <v>288.39999999999998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/>
      <c r="AA406" s="59">
        <f t="shared" si="107"/>
        <v>288.39999999999998</v>
      </c>
      <c r="AB406" s="58">
        <v>2018</v>
      </c>
      <c r="AC406" s="9"/>
      <c r="AD406" s="101"/>
      <c r="AE406" s="101"/>
    </row>
    <row r="407" spans="1:31" ht="15.6" hidden="1" customHeight="1" x14ac:dyDescent="0.3">
      <c r="A407" s="54" t="s">
        <v>18</v>
      </c>
      <c r="B407" s="54" t="s">
        <v>18</v>
      </c>
      <c r="C407" s="54" t="s">
        <v>25</v>
      </c>
      <c r="D407" s="54" t="s">
        <v>18</v>
      </c>
      <c r="E407" s="54" t="s">
        <v>21</v>
      </c>
      <c r="F407" s="54" t="s">
        <v>18</v>
      </c>
      <c r="G407" s="54" t="s">
        <v>22</v>
      </c>
      <c r="H407" s="54" t="s">
        <v>19</v>
      </c>
      <c r="I407" s="54" t="s">
        <v>24</v>
      </c>
      <c r="J407" s="54" t="s">
        <v>18</v>
      </c>
      <c r="K407" s="54" t="s">
        <v>18</v>
      </c>
      <c r="L407" s="54" t="s">
        <v>20</v>
      </c>
      <c r="M407" s="54" t="s">
        <v>37</v>
      </c>
      <c r="N407" s="54" t="s">
        <v>18</v>
      </c>
      <c r="O407" s="54" t="s">
        <v>24</v>
      </c>
      <c r="P407" s="54" t="s">
        <v>22</v>
      </c>
      <c r="Q407" s="54" t="s">
        <v>46</v>
      </c>
      <c r="R407" s="160"/>
      <c r="S407" s="63" t="s">
        <v>0</v>
      </c>
      <c r="T407" s="1">
        <v>6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/>
      <c r="AA407" s="59">
        <f t="shared" si="107"/>
        <v>6</v>
      </c>
      <c r="AB407" s="58">
        <v>2018</v>
      </c>
      <c r="AC407" s="9"/>
      <c r="AD407" s="101"/>
      <c r="AE407" s="101"/>
    </row>
    <row r="408" spans="1:31" ht="15.6" hidden="1" customHeight="1" x14ac:dyDescent="0.3">
      <c r="A408" s="54" t="s">
        <v>18</v>
      </c>
      <c r="B408" s="54" t="s">
        <v>18</v>
      </c>
      <c r="C408" s="54" t="s">
        <v>25</v>
      </c>
      <c r="D408" s="54" t="s">
        <v>18</v>
      </c>
      <c r="E408" s="54" t="s">
        <v>21</v>
      </c>
      <c r="F408" s="54" t="s">
        <v>18</v>
      </c>
      <c r="G408" s="54" t="s">
        <v>22</v>
      </c>
      <c r="H408" s="54" t="s">
        <v>19</v>
      </c>
      <c r="I408" s="54" t="s">
        <v>24</v>
      </c>
      <c r="J408" s="54" t="s">
        <v>18</v>
      </c>
      <c r="K408" s="54" t="s">
        <v>18</v>
      </c>
      <c r="L408" s="54" t="s">
        <v>20</v>
      </c>
      <c r="M408" s="54" t="s">
        <v>37</v>
      </c>
      <c r="N408" s="54" t="s">
        <v>18</v>
      </c>
      <c r="O408" s="54" t="s">
        <v>24</v>
      </c>
      <c r="P408" s="54" t="s">
        <v>22</v>
      </c>
      <c r="Q408" s="54" t="s">
        <v>46</v>
      </c>
      <c r="R408" s="160"/>
      <c r="S408" s="63" t="s">
        <v>0</v>
      </c>
      <c r="T408" s="1">
        <v>151.4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/>
      <c r="AA408" s="59">
        <f t="shared" si="107"/>
        <v>151.4</v>
      </c>
      <c r="AB408" s="58">
        <v>2018</v>
      </c>
      <c r="AC408" s="9"/>
      <c r="AD408" s="101"/>
      <c r="AE408" s="101"/>
    </row>
    <row r="409" spans="1:31" ht="15.6" hidden="1" customHeight="1" x14ac:dyDescent="0.3">
      <c r="A409" s="54" t="s">
        <v>18</v>
      </c>
      <c r="B409" s="54" t="s">
        <v>18</v>
      </c>
      <c r="C409" s="54" t="s">
        <v>25</v>
      </c>
      <c r="D409" s="54" t="s">
        <v>18</v>
      </c>
      <c r="E409" s="54" t="s">
        <v>21</v>
      </c>
      <c r="F409" s="54" t="s">
        <v>18</v>
      </c>
      <c r="G409" s="54" t="s">
        <v>22</v>
      </c>
      <c r="H409" s="54" t="s">
        <v>19</v>
      </c>
      <c r="I409" s="54" t="s">
        <v>24</v>
      </c>
      <c r="J409" s="54" t="s">
        <v>18</v>
      </c>
      <c r="K409" s="54" t="s">
        <v>18</v>
      </c>
      <c r="L409" s="54" t="s">
        <v>20</v>
      </c>
      <c r="M409" s="54" t="s">
        <v>37</v>
      </c>
      <c r="N409" s="54" t="s">
        <v>18</v>
      </c>
      <c r="O409" s="54" t="s">
        <v>24</v>
      </c>
      <c r="P409" s="54" t="s">
        <v>22</v>
      </c>
      <c r="Q409" s="54" t="s">
        <v>39</v>
      </c>
      <c r="R409" s="160"/>
      <c r="S409" s="63" t="s">
        <v>0</v>
      </c>
      <c r="T409" s="1">
        <v>275.2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/>
      <c r="AA409" s="59">
        <f t="shared" si="107"/>
        <v>275.2</v>
      </c>
      <c r="AB409" s="58">
        <v>2018</v>
      </c>
      <c r="AC409" s="9"/>
      <c r="AD409" s="101"/>
      <c r="AE409" s="101"/>
    </row>
    <row r="410" spans="1:31" ht="31.2" hidden="1" customHeight="1" x14ac:dyDescent="0.3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80" t="s">
        <v>240</v>
      </c>
      <c r="S410" s="84" t="s">
        <v>8</v>
      </c>
      <c r="T410" s="44">
        <v>1</v>
      </c>
      <c r="U410" s="44">
        <v>0</v>
      </c>
      <c r="V410" s="44">
        <v>0</v>
      </c>
      <c r="W410" s="44">
        <v>0</v>
      </c>
      <c r="X410" s="44">
        <v>0</v>
      </c>
      <c r="Y410" s="44">
        <v>0</v>
      </c>
      <c r="Z410" s="44"/>
      <c r="AA410" s="49">
        <f t="shared" si="107"/>
        <v>1</v>
      </c>
      <c r="AB410" s="41">
        <v>2018</v>
      </c>
      <c r="AC410" s="9"/>
      <c r="AD410" s="101"/>
      <c r="AE410" s="101"/>
    </row>
    <row r="411" spans="1:31" ht="15.6" hidden="1" customHeight="1" x14ac:dyDescent="0.3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160" t="s">
        <v>241</v>
      </c>
      <c r="S411" s="63" t="s">
        <v>0</v>
      </c>
      <c r="T411" s="1">
        <f>SUM(T412:T415)</f>
        <v>960.80000000000007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/>
      <c r="AA411" s="59">
        <f t="shared" si="107"/>
        <v>960.80000000000007</v>
      </c>
      <c r="AB411" s="58">
        <v>2018</v>
      </c>
      <c r="AC411" s="9"/>
      <c r="AD411" s="101"/>
      <c r="AE411" s="101"/>
    </row>
    <row r="412" spans="1:31" ht="15.6" hidden="1" customHeight="1" x14ac:dyDescent="0.3">
      <c r="A412" s="54" t="s">
        <v>18</v>
      </c>
      <c r="B412" s="54" t="s">
        <v>18</v>
      </c>
      <c r="C412" s="54" t="s">
        <v>25</v>
      </c>
      <c r="D412" s="54" t="s">
        <v>18</v>
      </c>
      <c r="E412" s="54" t="s">
        <v>21</v>
      </c>
      <c r="F412" s="54" t="s">
        <v>18</v>
      </c>
      <c r="G412" s="54" t="s">
        <v>22</v>
      </c>
      <c r="H412" s="54" t="s">
        <v>19</v>
      </c>
      <c r="I412" s="54" t="s">
        <v>24</v>
      </c>
      <c r="J412" s="54" t="s">
        <v>18</v>
      </c>
      <c r="K412" s="54" t="s">
        <v>18</v>
      </c>
      <c r="L412" s="54" t="s">
        <v>20</v>
      </c>
      <c r="M412" s="54" t="s">
        <v>19</v>
      </c>
      <c r="N412" s="54" t="s">
        <v>18</v>
      </c>
      <c r="O412" s="54" t="s">
        <v>24</v>
      </c>
      <c r="P412" s="54" t="s">
        <v>22</v>
      </c>
      <c r="Q412" s="54" t="s">
        <v>45</v>
      </c>
      <c r="R412" s="160"/>
      <c r="S412" s="63" t="s">
        <v>0</v>
      </c>
      <c r="T412" s="1">
        <v>384.3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/>
      <c r="AA412" s="59">
        <f t="shared" si="107"/>
        <v>384.3</v>
      </c>
      <c r="AB412" s="58">
        <v>2018</v>
      </c>
      <c r="AC412" s="9"/>
      <c r="AD412" s="101"/>
      <c r="AE412" s="101"/>
    </row>
    <row r="413" spans="1:31" ht="15.6" hidden="1" customHeight="1" x14ac:dyDescent="0.3">
      <c r="A413" s="54" t="s">
        <v>18</v>
      </c>
      <c r="B413" s="54" t="s">
        <v>18</v>
      </c>
      <c r="C413" s="54" t="s">
        <v>25</v>
      </c>
      <c r="D413" s="54" t="s">
        <v>18</v>
      </c>
      <c r="E413" s="54" t="s">
        <v>21</v>
      </c>
      <c r="F413" s="54" t="s">
        <v>18</v>
      </c>
      <c r="G413" s="54" t="s">
        <v>22</v>
      </c>
      <c r="H413" s="54" t="s">
        <v>19</v>
      </c>
      <c r="I413" s="54" t="s">
        <v>24</v>
      </c>
      <c r="J413" s="54" t="s">
        <v>18</v>
      </c>
      <c r="K413" s="54" t="s">
        <v>18</v>
      </c>
      <c r="L413" s="54" t="s">
        <v>20</v>
      </c>
      <c r="M413" s="54" t="s">
        <v>37</v>
      </c>
      <c r="N413" s="54" t="s">
        <v>18</v>
      </c>
      <c r="O413" s="54" t="s">
        <v>24</v>
      </c>
      <c r="P413" s="54" t="s">
        <v>22</v>
      </c>
      <c r="Q413" s="54" t="s">
        <v>46</v>
      </c>
      <c r="R413" s="160"/>
      <c r="S413" s="63" t="s">
        <v>0</v>
      </c>
      <c r="T413" s="1">
        <v>25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/>
      <c r="AA413" s="59">
        <f t="shared" si="107"/>
        <v>25</v>
      </c>
      <c r="AB413" s="58">
        <v>2018</v>
      </c>
      <c r="AC413" s="9"/>
      <c r="AD413" s="101"/>
      <c r="AE413" s="101"/>
    </row>
    <row r="414" spans="1:31" ht="15.6" hidden="1" customHeight="1" x14ac:dyDescent="0.3">
      <c r="A414" s="54" t="s">
        <v>18</v>
      </c>
      <c r="B414" s="54" t="s">
        <v>18</v>
      </c>
      <c r="C414" s="54" t="s">
        <v>25</v>
      </c>
      <c r="D414" s="54" t="s">
        <v>18</v>
      </c>
      <c r="E414" s="54" t="s">
        <v>21</v>
      </c>
      <c r="F414" s="54" t="s">
        <v>18</v>
      </c>
      <c r="G414" s="54" t="s">
        <v>22</v>
      </c>
      <c r="H414" s="54" t="s">
        <v>19</v>
      </c>
      <c r="I414" s="54" t="s">
        <v>24</v>
      </c>
      <c r="J414" s="54" t="s">
        <v>18</v>
      </c>
      <c r="K414" s="54" t="s">
        <v>18</v>
      </c>
      <c r="L414" s="54" t="s">
        <v>20</v>
      </c>
      <c r="M414" s="54" t="s">
        <v>37</v>
      </c>
      <c r="N414" s="54" t="s">
        <v>18</v>
      </c>
      <c r="O414" s="54" t="s">
        <v>24</v>
      </c>
      <c r="P414" s="54" t="s">
        <v>22</v>
      </c>
      <c r="Q414" s="54" t="s">
        <v>46</v>
      </c>
      <c r="R414" s="160"/>
      <c r="S414" s="63" t="s">
        <v>0</v>
      </c>
      <c r="T414" s="1">
        <v>212.4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/>
      <c r="AA414" s="59">
        <f t="shared" si="107"/>
        <v>212.4</v>
      </c>
      <c r="AB414" s="58">
        <v>2018</v>
      </c>
      <c r="AC414" s="9"/>
      <c r="AD414" s="101"/>
      <c r="AE414" s="101"/>
    </row>
    <row r="415" spans="1:31" ht="15.6" hidden="1" customHeight="1" x14ac:dyDescent="0.3">
      <c r="A415" s="54" t="s">
        <v>18</v>
      </c>
      <c r="B415" s="54" t="s">
        <v>18</v>
      </c>
      <c r="C415" s="54" t="s">
        <v>25</v>
      </c>
      <c r="D415" s="54" t="s">
        <v>18</v>
      </c>
      <c r="E415" s="54" t="s">
        <v>21</v>
      </c>
      <c r="F415" s="54" t="s">
        <v>18</v>
      </c>
      <c r="G415" s="54" t="s">
        <v>22</v>
      </c>
      <c r="H415" s="54" t="s">
        <v>19</v>
      </c>
      <c r="I415" s="54" t="s">
        <v>24</v>
      </c>
      <c r="J415" s="54" t="s">
        <v>18</v>
      </c>
      <c r="K415" s="54" t="s">
        <v>18</v>
      </c>
      <c r="L415" s="54" t="s">
        <v>20</v>
      </c>
      <c r="M415" s="54" t="s">
        <v>37</v>
      </c>
      <c r="N415" s="54" t="s">
        <v>18</v>
      </c>
      <c r="O415" s="54" t="s">
        <v>24</v>
      </c>
      <c r="P415" s="54" t="s">
        <v>22</v>
      </c>
      <c r="Q415" s="54" t="s">
        <v>39</v>
      </c>
      <c r="R415" s="160"/>
      <c r="S415" s="63" t="s">
        <v>0</v>
      </c>
      <c r="T415" s="1">
        <v>339.1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/>
      <c r="AA415" s="59">
        <f t="shared" si="107"/>
        <v>339.1</v>
      </c>
      <c r="AB415" s="58">
        <v>2018</v>
      </c>
      <c r="AC415" s="9"/>
      <c r="AD415" s="101"/>
      <c r="AE415" s="101"/>
    </row>
    <row r="416" spans="1:31" ht="31.2" hidden="1" customHeight="1" x14ac:dyDescent="0.3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80" t="s">
        <v>242</v>
      </c>
      <c r="S416" s="84" t="s">
        <v>176</v>
      </c>
      <c r="T416" s="3">
        <v>78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/>
      <c r="AA416" s="6">
        <f t="shared" si="107"/>
        <v>78</v>
      </c>
      <c r="AB416" s="41">
        <v>2018</v>
      </c>
      <c r="AC416" s="9"/>
      <c r="AD416" s="101"/>
      <c r="AE416" s="101"/>
    </row>
    <row r="417" spans="1:31" ht="15.6" hidden="1" customHeight="1" x14ac:dyDescent="0.3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160" t="s">
        <v>243</v>
      </c>
      <c r="S417" s="63" t="s">
        <v>0</v>
      </c>
      <c r="T417" s="1">
        <f>SUM(T418:T421)</f>
        <v>301.2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/>
      <c r="AA417" s="59">
        <f t="shared" si="107"/>
        <v>301.2</v>
      </c>
      <c r="AB417" s="58">
        <v>2018</v>
      </c>
      <c r="AC417" s="9"/>
      <c r="AD417" s="101"/>
      <c r="AE417" s="101"/>
    </row>
    <row r="418" spans="1:31" ht="15.6" hidden="1" customHeight="1" x14ac:dyDescent="0.3">
      <c r="A418" s="54" t="s">
        <v>18</v>
      </c>
      <c r="B418" s="54" t="s">
        <v>18</v>
      </c>
      <c r="C418" s="54" t="s">
        <v>25</v>
      </c>
      <c r="D418" s="54" t="s">
        <v>18</v>
      </c>
      <c r="E418" s="54" t="s">
        <v>21</v>
      </c>
      <c r="F418" s="54" t="s">
        <v>18</v>
      </c>
      <c r="G418" s="54" t="s">
        <v>22</v>
      </c>
      <c r="H418" s="54" t="s">
        <v>19</v>
      </c>
      <c r="I418" s="54" t="s">
        <v>24</v>
      </c>
      <c r="J418" s="54" t="s">
        <v>18</v>
      </c>
      <c r="K418" s="54" t="s">
        <v>18</v>
      </c>
      <c r="L418" s="54" t="s">
        <v>20</v>
      </c>
      <c r="M418" s="54" t="s">
        <v>19</v>
      </c>
      <c r="N418" s="54" t="s">
        <v>18</v>
      </c>
      <c r="O418" s="54" t="s">
        <v>24</v>
      </c>
      <c r="P418" s="54" t="s">
        <v>22</v>
      </c>
      <c r="Q418" s="54" t="s">
        <v>45</v>
      </c>
      <c r="R418" s="160"/>
      <c r="S418" s="63" t="s">
        <v>0</v>
      </c>
      <c r="T418" s="1">
        <v>114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/>
      <c r="AA418" s="59">
        <f t="shared" si="107"/>
        <v>114</v>
      </c>
      <c r="AB418" s="58">
        <v>2018</v>
      </c>
      <c r="AC418" s="9"/>
      <c r="AD418" s="101"/>
      <c r="AE418" s="101"/>
    </row>
    <row r="419" spans="1:31" ht="15.6" hidden="1" customHeight="1" x14ac:dyDescent="0.3">
      <c r="A419" s="54" t="s">
        <v>18</v>
      </c>
      <c r="B419" s="54" t="s">
        <v>18</v>
      </c>
      <c r="C419" s="54" t="s">
        <v>25</v>
      </c>
      <c r="D419" s="54" t="s">
        <v>18</v>
      </c>
      <c r="E419" s="54" t="s">
        <v>21</v>
      </c>
      <c r="F419" s="54" t="s">
        <v>18</v>
      </c>
      <c r="G419" s="54" t="s">
        <v>22</v>
      </c>
      <c r="H419" s="54" t="s">
        <v>19</v>
      </c>
      <c r="I419" s="54" t="s">
        <v>24</v>
      </c>
      <c r="J419" s="54" t="s">
        <v>18</v>
      </c>
      <c r="K419" s="54" t="s">
        <v>18</v>
      </c>
      <c r="L419" s="54" t="s">
        <v>20</v>
      </c>
      <c r="M419" s="54" t="s">
        <v>37</v>
      </c>
      <c r="N419" s="54" t="s">
        <v>18</v>
      </c>
      <c r="O419" s="54" t="s">
        <v>24</v>
      </c>
      <c r="P419" s="54" t="s">
        <v>22</v>
      </c>
      <c r="Q419" s="54" t="s">
        <v>46</v>
      </c>
      <c r="R419" s="160"/>
      <c r="S419" s="63" t="s">
        <v>0</v>
      </c>
      <c r="T419" s="1">
        <v>10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/>
      <c r="AA419" s="59">
        <f t="shared" si="107"/>
        <v>10</v>
      </c>
      <c r="AB419" s="58">
        <v>2018</v>
      </c>
      <c r="AC419" s="9"/>
      <c r="AD419" s="101"/>
      <c r="AE419" s="101"/>
    </row>
    <row r="420" spans="1:31" ht="15.6" hidden="1" customHeight="1" x14ac:dyDescent="0.3">
      <c r="A420" s="54" t="s">
        <v>18</v>
      </c>
      <c r="B420" s="54" t="s">
        <v>18</v>
      </c>
      <c r="C420" s="54" t="s">
        <v>25</v>
      </c>
      <c r="D420" s="54" t="s">
        <v>18</v>
      </c>
      <c r="E420" s="54" t="s">
        <v>21</v>
      </c>
      <c r="F420" s="54" t="s">
        <v>18</v>
      </c>
      <c r="G420" s="54" t="s">
        <v>22</v>
      </c>
      <c r="H420" s="54" t="s">
        <v>19</v>
      </c>
      <c r="I420" s="54" t="s">
        <v>24</v>
      </c>
      <c r="J420" s="54" t="s">
        <v>18</v>
      </c>
      <c r="K420" s="54" t="s">
        <v>18</v>
      </c>
      <c r="L420" s="54" t="s">
        <v>20</v>
      </c>
      <c r="M420" s="54" t="s">
        <v>37</v>
      </c>
      <c r="N420" s="54" t="s">
        <v>18</v>
      </c>
      <c r="O420" s="54" t="s">
        <v>24</v>
      </c>
      <c r="P420" s="54" t="s">
        <v>22</v>
      </c>
      <c r="Q420" s="54" t="s">
        <v>46</v>
      </c>
      <c r="R420" s="160"/>
      <c r="S420" s="63" t="s">
        <v>0</v>
      </c>
      <c r="T420" s="1">
        <v>63.2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/>
      <c r="AA420" s="59">
        <f t="shared" si="107"/>
        <v>63.2</v>
      </c>
      <c r="AB420" s="58">
        <v>2018</v>
      </c>
      <c r="AC420" s="9"/>
      <c r="AD420" s="101"/>
      <c r="AE420" s="101"/>
    </row>
    <row r="421" spans="1:31" ht="15.6" hidden="1" customHeight="1" x14ac:dyDescent="0.3">
      <c r="A421" s="54" t="s">
        <v>18</v>
      </c>
      <c r="B421" s="54" t="s">
        <v>18</v>
      </c>
      <c r="C421" s="54" t="s">
        <v>25</v>
      </c>
      <c r="D421" s="54" t="s">
        <v>18</v>
      </c>
      <c r="E421" s="54" t="s">
        <v>21</v>
      </c>
      <c r="F421" s="54" t="s">
        <v>18</v>
      </c>
      <c r="G421" s="54" t="s">
        <v>22</v>
      </c>
      <c r="H421" s="54" t="s">
        <v>19</v>
      </c>
      <c r="I421" s="54" t="s">
        <v>24</v>
      </c>
      <c r="J421" s="54" t="s">
        <v>18</v>
      </c>
      <c r="K421" s="54" t="s">
        <v>18</v>
      </c>
      <c r="L421" s="54" t="s">
        <v>20</v>
      </c>
      <c r="M421" s="54" t="s">
        <v>37</v>
      </c>
      <c r="N421" s="54" t="s">
        <v>18</v>
      </c>
      <c r="O421" s="54" t="s">
        <v>24</v>
      </c>
      <c r="P421" s="54" t="s">
        <v>22</v>
      </c>
      <c r="Q421" s="54" t="s">
        <v>39</v>
      </c>
      <c r="R421" s="160"/>
      <c r="S421" s="63" t="s">
        <v>0</v>
      </c>
      <c r="T421" s="1">
        <v>114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/>
      <c r="AA421" s="59">
        <f t="shared" si="107"/>
        <v>114</v>
      </c>
      <c r="AB421" s="58">
        <v>2018</v>
      </c>
      <c r="AC421" s="9"/>
      <c r="AD421" s="101"/>
      <c r="AE421" s="101"/>
    </row>
    <row r="422" spans="1:31" ht="45" hidden="1" customHeight="1" x14ac:dyDescent="0.3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80" t="s">
        <v>244</v>
      </c>
      <c r="S422" s="84" t="s">
        <v>50</v>
      </c>
      <c r="T422" s="44">
        <v>12</v>
      </c>
      <c r="U422" s="44">
        <v>0</v>
      </c>
      <c r="V422" s="44">
        <v>0</v>
      </c>
      <c r="W422" s="44">
        <v>0</v>
      </c>
      <c r="X422" s="44">
        <v>0</v>
      </c>
      <c r="Y422" s="44">
        <v>0</v>
      </c>
      <c r="Z422" s="44"/>
      <c r="AA422" s="49">
        <f t="shared" si="107"/>
        <v>12</v>
      </c>
      <c r="AB422" s="41">
        <v>2018</v>
      </c>
      <c r="AC422" s="9"/>
      <c r="AD422" s="101"/>
      <c r="AE422" s="101"/>
    </row>
    <row r="423" spans="1:31" ht="15.6" hidden="1" customHeight="1" x14ac:dyDescent="0.3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160" t="s">
        <v>245</v>
      </c>
      <c r="S423" s="63" t="s">
        <v>0</v>
      </c>
      <c r="T423" s="1">
        <f>SUM(T424:T427)</f>
        <v>465.4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/>
      <c r="AA423" s="59">
        <f t="shared" si="107"/>
        <v>465.4</v>
      </c>
      <c r="AB423" s="58">
        <v>2018</v>
      </c>
      <c r="AC423" s="9"/>
      <c r="AD423" s="101"/>
      <c r="AE423" s="101"/>
    </row>
    <row r="424" spans="1:31" ht="15.6" hidden="1" customHeight="1" x14ac:dyDescent="0.3">
      <c r="A424" s="54" t="s">
        <v>18</v>
      </c>
      <c r="B424" s="54" t="s">
        <v>18</v>
      </c>
      <c r="C424" s="54" t="s">
        <v>25</v>
      </c>
      <c r="D424" s="54" t="s">
        <v>18</v>
      </c>
      <c r="E424" s="54" t="s">
        <v>21</v>
      </c>
      <c r="F424" s="54" t="s">
        <v>18</v>
      </c>
      <c r="G424" s="54" t="s">
        <v>22</v>
      </c>
      <c r="H424" s="54" t="s">
        <v>19</v>
      </c>
      <c r="I424" s="54" t="s">
        <v>24</v>
      </c>
      <c r="J424" s="54" t="s">
        <v>18</v>
      </c>
      <c r="K424" s="54" t="s">
        <v>18</v>
      </c>
      <c r="L424" s="54" t="s">
        <v>20</v>
      </c>
      <c r="M424" s="54" t="s">
        <v>19</v>
      </c>
      <c r="N424" s="54" t="s">
        <v>18</v>
      </c>
      <c r="O424" s="54" t="s">
        <v>24</v>
      </c>
      <c r="P424" s="54" t="s">
        <v>22</v>
      </c>
      <c r="Q424" s="54" t="s">
        <v>45</v>
      </c>
      <c r="R424" s="160"/>
      <c r="S424" s="63" t="s">
        <v>0</v>
      </c>
      <c r="T424" s="1">
        <v>178.8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/>
      <c r="AA424" s="59">
        <f t="shared" si="107"/>
        <v>178.8</v>
      </c>
      <c r="AB424" s="58">
        <v>2018</v>
      </c>
      <c r="AC424" s="9"/>
      <c r="AD424" s="101"/>
      <c r="AE424" s="101"/>
    </row>
    <row r="425" spans="1:31" ht="15.6" hidden="1" customHeight="1" x14ac:dyDescent="0.3">
      <c r="A425" s="54" t="s">
        <v>18</v>
      </c>
      <c r="B425" s="54" t="s">
        <v>18</v>
      </c>
      <c r="C425" s="54" t="s">
        <v>25</v>
      </c>
      <c r="D425" s="54" t="s">
        <v>18</v>
      </c>
      <c r="E425" s="54" t="s">
        <v>21</v>
      </c>
      <c r="F425" s="54" t="s">
        <v>18</v>
      </c>
      <c r="G425" s="54" t="s">
        <v>22</v>
      </c>
      <c r="H425" s="54" t="s">
        <v>19</v>
      </c>
      <c r="I425" s="54" t="s">
        <v>24</v>
      </c>
      <c r="J425" s="54" t="s">
        <v>18</v>
      </c>
      <c r="K425" s="54" t="s">
        <v>18</v>
      </c>
      <c r="L425" s="54" t="s">
        <v>20</v>
      </c>
      <c r="M425" s="54" t="s">
        <v>37</v>
      </c>
      <c r="N425" s="54" t="s">
        <v>18</v>
      </c>
      <c r="O425" s="54" t="s">
        <v>24</v>
      </c>
      <c r="P425" s="54" t="s">
        <v>22</v>
      </c>
      <c r="Q425" s="54" t="s">
        <v>46</v>
      </c>
      <c r="R425" s="160"/>
      <c r="S425" s="63" t="s">
        <v>0</v>
      </c>
      <c r="T425" s="1">
        <v>10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/>
      <c r="AA425" s="59">
        <f t="shared" si="107"/>
        <v>10</v>
      </c>
      <c r="AB425" s="58">
        <v>2018</v>
      </c>
      <c r="AC425" s="9"/>
      <c r="AD425" s="101"/>
      <c r="AE425" s="101"/>
    </row>
    <row r="426" spans="1:31" ht="15.6" hidden="1" customHeight="1" x14ac:dyDescent="0.3">
      <c r="A426" s="54" t="s">
        <v>18</v>
      </c>
      <c r="B426" s="54" t="s">
        <v>18</v>
      </c>
      <c r="C426" s="54" t="s">
        <v>25</v>
      </c>
      <c r="D426" s="54" t="s">
        <v>18</v>
      </c>
      <c r="E426" s="54" t="s">
        <v>21</v>
      </c>
      <c r="F426" s="54" t="s">
        <v>18</v>
      </c>
      <c r="G426" s="54" t="s">
        <v>22</v>
      </c>
      <c r="H426" s="54" t="s">
        <v>19</v>
      </c>
      <c r="I426" s="54" t="s">
        <v>24</v>
      </c>
      <c r="J426" s="54" t="s">
        <v>18</v>
      </c>
      <c r="K426" s="54" t="s">
        <v>18</v>
      </c>
      <c r="L426" s="54" t="s">
        <v>20</v>
      </c>
      <c r="M426" s="54" t="s">
        <v>37</v>
      </c>
      <c r="N426" s="54" t="s">
        <v>18</v>
      </c>
      <c r="O426" s="54" t="s">
        <v>24</v>
      </c>
      <c r="P426" s="54" t="s">
        <v>22</v>
      </c>
      <c r="Q426" s="54" t="s">
        <v>46</v>
      </c>
      <c r="R426" s="160"/>
      <c r="S426" s="63" t="s">
        <v>0</v>
      </c>
      <c r="T426" s="1">
        <v>97.7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/>
      <c r="AA426" s="59">
        <f t="shared" si="107"/>
        <v>97.7</v>
      </c>
      <c r="AB426" s="58">
        <v>2018</v>
      </c>
      <c r="AC426" s="9"/>
      <c r="AD426" s="101"/>
      <c r="AE426" s="101"/>
    </row>
    <row r="427" spans="1:31" ht="15.6" hidden="1" customHeight="1" x14ac:dyDescent="0.3">
      <c r="A427" s="54" t="s">
        <v>18</v>
      </c>
      <c r="B427" s="54" t="s">
        <v>18</v>
      </c>
      <c r="C427" s="54" t="s">
        <v>25</v>
      </c>
      <c r="D427" s="54" t="s">
        <v>18</v>
      </c>
      <c r="E427" s="54" t="s">
        <v>21</v>
      </c>
      <c r="F427" s="54" t="s">
        <v>18</v>
      </c>
      <c r="G427" s="54" t="s">
        <v>22</v>
      </c>
      <c r="H427" s="54" t="s">
        <v>19</v>
      </c>
      <c r="I427" s="54" t="s">
        <v>24</v>
      </c>
      <c r="J427" s="54" t="s">
        <v>18</v>
      </c>
      <c r="K427" s="54" t="s">
        <v>18</v>
      </c>
      <c r="L427" s="54" t="s">
        <v>20</v>
      </c>
      <c r="M427" s="54" t="s">
        <v>37</v>
      </c>
      <c r="N427" s="54" t="s">
        <v>18</v>
      </c>
      <c r="O427" s="54" t="s">
        <v>24</v>
      </c>
      <c r="P427" s="54" t="s">
        <v>22</v>
      </c>
      <c r="Q427" s="54" t="s">
        <v>39</v>
      </c>
      <c r="R427" s="160"/>
      <c r="S427" s="63" t="s">
        <v>0</v>
      </c>
      <c r="T427" s="1">
        <v>178.9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/>
      <c r="AA427" s="59">
        <f t="shared" si="107"/>
        <v>178.9</v>
      </c>
      <c r="AB427" s="58">
        <v>2018</v>
      </c>
      <c r="AC427" s="9"/>
      <c r="AD427" s="101"/>
      <c r="AE427" s="101"/>
    </row>
    <row r="428" spans="1:31" ht="41.4" hidden="1" customHeight="1" x14ac:dyDescent="0.3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80" t="s">
        <v>246</v>
      </c>
      <c r="S428" s="84" t="s">
        <v>175</v>
      </c>
      <c r="T428" s="3">
        <v>127</v>
      </c>
      <c r="U428" s="3">
        <v>0</v>
      </c>
      <c r="V428" s="3">
        <v>0</v>
      </c>
      <c r="W428" s="3">
        <v>0</v>
      </c>
      <c r="X428" s="3">
        <v>0</v>
      </c>
      <c r="Y428" s="3">
        <v>0</v>
      </c>
      <c r="Z428" s="3"/>
      <c r="AA428" s="6">
        <f t="shared" si="107"/>
        <v>127</v>
      </c>
      <c r="AB428" s="41">
        <v>2018</v>
      </c>
      <c r="AC428" s="9"/>
      <c r="AD428" s="101"/>
      <c r="AE428" s="101"/>
    </row>
    <row r="429" spans="1:31" ht="15.6" hidden="1" customHeight="1" x14ac:dyDescent="0.3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160" t="s">
        <v>247</v>
      </c>
      <c r="S429" s="63" t="s">
        <v>0</v>
      </c>
      <c r="T429" s="1">
        <f>SUM(T430:T433)</f>
        <v>482.90000000000003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/>
      <c r="AA429" s="59">
        <f t="shared" si="107"/>
        <v>482.90000000000003</v>
      </c>
      <c r="AB429" s="58">
        <v>2018</v>
      </c>
      <c r="AC429" s="9"/>
      <c r="AD429" s="101"/>
      <c r="AE429" s="101"/>
    </row>
    <row r="430" spans="1:31" ht="15.6" hidden="1" customHeight="1" x14ac:dyDescent="0.3">
      <c r="A430" s="54" t="s">
        <v>18</v>
      </c>
      <c r="B430" s="54" t="s">
        <v>18</v>
      </c>
      <c r="C430" s="54" t="s">
        <v>25</v>
      </c>
      <c r="D430" s="54" t="s">
        <v>18</v>
      </c>
      <c r="E430" s="54" t="s">
        <v>21</v>
      </c>
      <c r="F430" s="54" t="s">
        <v>18</v>
      </c>
      <c r="G430" s="54" t="s">
        <v>22</v>
      </c>
      <c r="H430" s="54" t="s">
        <v>19</v>
      </c>
      <c r="I430" s="54" t="s">
        <v>24</v>
      </c>
      <c r="J430" s="54" t="s">
        <v>18</v>
      </c>
      <c r="K430" s="54" t="s">
        <v>18</v>
      </c>
      <c r="L430" s="54" t="s">
        <v>20</v>
      </c>
      <c r="M430" s="54" t="s">
        <v>19</v>
      </c>
      <c r="N430" s="54" t="s">
        <v>18</v>
      </c>
      <c r="O430" s="54" t="s">
        <v>24</v>
      </c>
      <c r="P430" s="54" t="s">
        <v>22</v>
      </c>
      <c r="Q430" s="54" t="s">
        <v>45</v>
      </c>
      <c r="R430" s="160"/>
      <c r="S430" s="63" t="s">
        <v>0</v>
      </c>
      <c r="T430" s="1">
        <v>193.2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/>
      <c r="AA430" s="59">
        <f t="shared" si="107"/>
        <v>193.2</v>
      </c>
      <c r="AB430" s="58">
        <v>2018</v>
      </c>
      <c r="AC430" s="9"/>
      <c r="AD430" s="101"/>
      <c r="AE430" s="101"/>
    </row>
    <row r="431" spans="1:31" ht="15.6" hidden="1" customHeight="1" x14ac:dyDescent="0.3">
      <c r="A431" s="54" t="s">
        <v>18</v>
      </c>
      <c r="B431" s="54" t="s">
        <v>18</v>
      </c>
      <c r="C431" s="54" t="s">
        <v>25</v>
      </c>
      <c r="D431" s="54" t="s">
        <v>18</v>
      </c>
      <c r="E431" s="54" t="s">
        <v>21</v>
      </c>
      <c r="F431" s="54" t="s">
        <v>18</v>
      </c>
      <c r="G431" s="54" t="s">
        <v>22</v>
      </c>
      <c r="H431" s="54" t="s">
        <v>19</v>
      </c>
      <c r="I431" s="54" t="s">
        <v>24</v>
      </c>
      <c r="J431" s="54" t="s">
        <v>18</v>
      </c>
      <c r="K431" s="54" t="s">
        <v>18</v>
      </c>
      <c r="L431" s="54" t="s">
        <v>20</v>
      </c>
      <c r="M431" s="54" t="s">
        <v>37</v>
      </c>
      <c r="N431" s="54" t="s">
        <v>18</v>
      </c>
      <c r="O431" s="54" t="s">
        <v>24</v>
      </c>
      <c r="P431" s="54" t="s">
        <v>22</v>
      </c>
      <c r="Q431" s="54" t="s">
        <v>46</v>
      </c>
      <c r="R431" s="160"/>
      <c r="S431" s="63" t="s">
        <v>0</v>
      </c>
      <c r="T431" s="1">
        <v>10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/>
      <c r="AA431" s="59">
        <f t="shared" si="107"/>
        <v>10</v>
      </c>
      <c r="AB431" s="58">
        <v>2018</v>
      </c>
      <c r="AC431" s="9"/>
      <c r="AD431" s="101"/>
      <c r="AE431" s="101"/>
    </row>
    <row r="432" spans="1:31" ht="15.6" hidden="1" customHeight="1" x14ac:dyDescent="0.3">
      <c r="A432" s="54" t="s">
        <v>18</v>
      </c>
      <c r="B432" s="54" t="s">
        <v>18</v>
      </c>
      <c r="C432" s="54" t="s">
        <v>25</v>
      </c>
      <c r="D432" s="54" t="s">
        <v>18</v>
      </c>
      <c r="E432" s="54" t="s">
        <v>21</v>
      </c>
      <c r="F432" s="54" t="s">
        <v>18</v>
      </c>
      <c r="G432" s="54" t="s">
        <v>22</v>
      </c>
      <c r="H432" s="54" t="s">
        <v>19</v>
      </c>
      <c r="I432" s="54" t="s">
        <v>24</v>
      </c>
      <c r="J432" s="54" t="s">
        <v>18</v>
      </c>
      <c r="K432" s="54" t="s">
        <v>18</v>
      </c>
      <c r="L432" s="54" t="s">
        <v>20</v>
      </c>
      <c r="M432" s="54" t="s">
        <v>37</v>
      </c>
      <c r="N432" s="54" t="s">
        <v>18</v>
      </c>
      <c r="O432" s="54" t="s">
        <v>24</v>
      </c>
      <c r="P432" s="54" t="s">
        <v>22</v>
      </c>
      <c r="Q432" s="54" t="s">
        <v>46</v>
      </c>
      <c r="R432" s="160"/>
      <c r="S432" s="63" t="s">
        <v>0</v>
      </c>
      <c r="T432" s="1">
        <v>101.4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1"/>
      <c r="AA432" s="59">
        <f t="shared" si="107"/>
        <v>101.4</v>
      </c>
      <c r="AB432" s="58">
        <v>2018</v>
      </c>
      <c r="AC432" s="9"/>
      <c r="AD432" s="101"/>
      <c r="AE432" s="101"/>
    </row>
    <row r="433" spans="1:31" ht="15.6" hidden="1" customHeight="1" x14ac:dyDescent="0.3">
      <c r="A433" s="54" t="s">
        <v>18</v>
      </c>
      <c r="B433" s="54" t="s">
        <v>18</v>
      </c>
      <c r="C433" s="54" t="s">
        <v>25</v>
      </c>
      <c r="D433" s="54" t="s">
        <v>18</v>
      </c>
      <c r="E433" s="54" t="s">
        <v>21</v>
      </c>
      <c r="F433" s="54" t="s">
        <v>18</v>
      </c>
      <c r="G433" s="54" t="s">
        <v>22</v>
      </c>
      <c r="H433" s="54" t="s">
        <v>19</v>
      </c>
      <c r="I433" s="54" t="s">
        <v>24</v>
      </c>
      <c r="J433" s="54" t="s">
        <v>18</v>
      </c>
      <c r="K433" s="54" t="s">
        <v>18</v>
      </c>
      <c r="L433" s="54" t="s">
        <v>20</v>
      </c>
      <c r="M433" s="54" t="s">
        <v>37</v>
      </c>
      <c r="N433" s="54" t="s">
        <v>18</v>
      </c>
      <c r="O433" s="54" t="s">
        <v>24</v>
      </c>
      <c r="P433" s="54" t="s">
        <v>22</v>
      </c>
      <c r="Q433" s="54" t="s">
        <v>39</v>
      </c>
      <c r="R433" s="160"/>
      <c r="S433" s="63" t="s">
        <v>0</v>
      </c>
      <c r="T433" s="1">
        <v>178.3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/>
      <c r="AA433" s="59">
        <f t="shared" si="107"/>
        <v>178.3</v>
      </c>
      <c r="AB433" s="58">
        <v>2018</v>
      </c>
      <c r="AC433" s="9"/>
      <c r="AD433" s="101"/>
      <c r="AE433" s="101"/>
    </row>
    <row r="434" spans="1:31" ht="42" hidden="1" customHeight="1" x14ac:dyDescent="0.3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80" t="s">
        <v>248</v>
      </c>
      <c r="S434" s="84" t="s">
        <v>175</v>
      </c>
      <c r="T434" s="3">
        <v>131</v>
      </c>
      <c r="U434" s="3">
        <v>0</v>
      </c>
      <c r="V434" s="3">
        <v>0</v>
      </c>
      <c r="W434" s="3">
        <v>0</v>
      </c>
      <c r="X434" s="3">
        <v>0</v>
      </c>
      <c r="Y434" s="3">
        <v>0</v>
      </c>
      <c r="Z434" s="3"/>
      <c r="AA434" s="6">
        <f t="shared" si="107"/>
        <v>131</v>
      </c>
      <c r="AB434" s="41">
        <v>2018</v>
      </c>
      <c r="AC434" s="9"/>
      <c r="AD434" s="101"/>
      <c r="AE434" s="101"/>
    </row>
    <row r="435" spans="1:31" ht="18.75" hidden="1" customHeight="1" x14ac:dyDescent="0.3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160" t="s">
        <v>249</v>
      </c>
      <c r="S435" s="63" t="s">
        <v>0</v>
      </c>
      <c r="T435" s="1">
        <f>SUM(T436:T438)</f>
        <v>880.6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/>
      <c r="AA435" s="59">
        <f t="shared" si="107"/>
        <v>880.6</v>
      </c>
      <c r="AB435" s="58">
        <v>2018</v>
      </c>
      <c r="AC435" s="9"/>
      <c r="AD435" s="101"/>
      <c r="AE435" s="101"/>
    </row>
    <row r="436" spans="1:31" ht="18.75" hidden="1" customHeight="1" x14ac:dyDescent="0.3">
      <c r="A436" s="54" t="s">
        <v>18</v>
      </c>
      <c r="B436" s="54" t="s">
        <v>18</v>
      </c>
      <c r="C436" s="54" t="s">
        <v>25</v>
      </c>
      <c r="D436" s="54" t="s">
        <v>18</v>
      </c>
      <c r="E436" s="54" t="s">
        <v>21</v>
      </c>
      <c r="F436" s="54" t="s">
        <v>18</v>
      </c>
      <c r="G436" s="54" t="s">
        <v>22</v>
      </c>
      <c r="H436" s="54" t="s">
        <v>19</v>
      </c>
      <c r="I436" s="54" t="s">
        <v>24</v>
      </c>
      <c r="J436" s="54" t="s">
        <v>18</v>
      </c>
      <c r="K436" s="54" t="s">
        <v>18</v>
      </c>
      <c r="L436" s="54" t="s">
        <v>20</v>
      </c>
      <c r="M436" s="54" t="s">
        <v>19</v>
      </c>
      <c r="N436" s="54" t="s">
        <v>18</v>
      </c>
      <c r="O436" s="54" t="s">
        <v>24</v>
      </c>
      <c r="P436" s="54" t="s">
        <v>22</v>
      </c>
      <c r="Q436" s="54" t="s">
        <v>45</v>
      </c>
      <c r="R436" s="160"/>
      <c r="S436" s="63" t="s">
        <v>0</v>
      </c>
      <c r="T436" s="1">
        <v>352.2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/>
      <c r="AA436" s="59">
        <f t="shared" si="107"/>
        <v>352.2</v>
      </c>
      <c r="AB436" s="58">
        <v>2018</v>
      </c>
      <c r="AC436" s="9"/>
      <c r="AD436" s="101"/>
      <c r="AE436" s="101"/>
    </row>
    <row r="437" spans="1:31" ht="18.75" hidden="1" customHeight="1" x14ac:dyDescent="0.3">
      <c r="A437" s="54" t="s">
        <v>18</v>
      </c>
      <c r="B437" s="54" t="s">
        <v>18</v>
      </c>
      <c r="C437" s="54" t="s">
        <v>25</v>
      </c>
      <c r="D437" s="54" t="s">
        <v>18</v>
      </c>
      <c r="E437" s="54" t="s">
        <v>21</v>
      </c>
      <c r="F437" s="54" t="s">
        <v>18</v>
      </c>
      <c r="G437" s="54" t="s">
        <v>22</v>
      </c>
      <c r="H437" s="54" t="s">
        <v>19</v>
      </c>
      <c r="I437" s="54" t="s">
        <v>24</v>
      </c>
      <c r="J437" s="54" t="s">
        <v>18</v>
      </c>
      <c r="K437" s="54" t="s">
        <v>18</v>
      </c>
      <c r="L437" s="54" t="s">
        <v>20</v>
      </c>
      <c r="M437" s="54" t="s">
        <v>37</v>
      </c>
      <c r="N437" s="54" t="s">
        <v>18</v>
      </c>
      <c r="O437" s="54" t="s">
        <v>24</v>
      </c>
      <c r="P437" s="54" t="s">
        <v>22</v>
      </c>
      <c r="Q437" s="54" t="s">
        <v>46</v>
      </c>
      <c r="R437" s="160"/>
      <c r="S437" s="63" t="s">
        <v>0</v>
      </c>
      <c r="T437" s="1">
        <v>140.9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/>
      <c r="AA437" s="59">
        <f t="shared" si="107"/>
        <v>140.9</v>
      </c>
      <c r="AB437" s="58">
        <v>2018</v>
      </c>
      <c r="AC437" s="9"/>
      <c r="AD437" s="101"/>
      <c r="AE437" s="101"/>
    </row>
    <row r="438" spans="1:31" ht="18.75" hidden="1" customHeight="1" x14ac:dyDescent="0.3">
      <c r="A438" s="54" t="s">
        <v>18</v>
      </c>
      <c r="B438" s="54" t="s">
        <v>18</v>
      </c>
      <c r="C438" s="54" t="s">
        <v>25</v>
      </c>
      <c r="D438" s="54" t="s">
        <v>18</v>
      </c>
      <c r="E438" s="54" t="s">
        <v>21</v>
      </c>
      <c r="F438" s="54" t="s">
        <v>18</v>
      </c>
      <c r="G438" s="54" t="s">
        <v>22</v>
      </c>
      <c r="H438" s="54" t="s">
        <v>19</v>
      </c>
      <c r="I438" s="54" t="s">
        <v>24</v>
      </c>
      <c r="J438" s="54" t="s">
        <v>18</v>
      </c>
      <c r="K438" s="54" t="s">
        <v>18</v>
      </c>
      <c r="L438" s="54" t="s">
        <v>20</v>
      </c>
      <c r="M438" s="54" t="s">
        <v>37</v>
      </c>
      <c r="N438" s="54" t="s">
        <v>18</v>
      </c>
      <c r="O438" s="54" t="s">
        <v>24</v>
      </c>
      <c r="P438" s="54" t="s">
        <v>22</v>
      </c>
      <c r="Q438" s="54" t="s">
        <v>39</v>
      </c>
      <c r="R438" s="160"/>
      <c r="S438" s="63" t="s">
        <v>0</v>
      </c>
      <c r="T438" s="1">
        <v>387.5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/>
      <c r="AA438" s="59">
        <f t="shared" si="107"/>
        <v>387.5</v>
      </c>
      <c r="AB438" s="58">
        <v>2018</v>
      </c>
      <c r="AC438" s="9"/>
      <c r="AD438" s="101"/>
      <c r="AE438" s="101"/>
    </row>
    <row r="439" spans="1:31" ht="46.2" hidden="1" customHeight="1" x14ac:dyDescent="0.3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78" t="s">
        <v>250</v>
      </c>
      <c r="S439" s="84" t="s">
        <v>175</v>
      </c>
      <c r="T439" s="3">
        <v>600</v>
      </c>
      <c r="U439" s="3">
        <v>0</v>
      </c>
      <c r="V439" s="3">
        <v>0</v>
      </c>
      <c r="W439" s="3">
        <v>0</v>
      </c>
      <c r="X439" s="3">
        <v>0</v>
      </c>
      <c r="Y439" s="3">
        <v>0</v>
      </c>
      <c r="Z439" s="3"/>
      <c r="AA439" s="6">
        <f t="shared" si="107"/>
        <v>600</v>
      </c>
      <c r="AB439" s="41">
        <v>2018</v>
      </c>
      <c r="AC439" s="9"/>
      <c r="AD439" s="101"/>
      <c r="AE439" s="101"/>
    </row>
    <row r="440" spans="1:31" ht="15.6" hidden="1" customHeight="1" x14ac:dyDescent="0.3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160" t="s">
        <v>251</v>
      </c>
      <c r="S440" s="63" t="s">
        <v>0</v>
      </c>
      <c r="T440" s="1">
        <f>SUM(T441:T444)</f>
        <v>293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/>
      <c r="AA440" s="59">
        <f t="shared" si="107"/>
        <v>293</v>
      </c>
      <c r="AB440" s="58">
        <v>2018</v>
      </c>
      <c r="AC440" s="9"/>
      <c r="AD440" s="101"/>
      <c r="AE440" s="101"/>
    </row>
    <row r="441" spans="1:31" ht="15.6" hidden="1" customHeight="1" x14ac:dyDescent="0.3">
      <c r="A441" s="54" t="s">
        <v>18</v>
      </c>
      <c r="B441" s="54" t="s">
        <v>18</v>
      </c>
      <c r="C441" s="54" t="s">
        <v>25</v>
      </c>
      <c r="D441" s="54" t="s">
        <v>18</v>
      </c>
      <c r="E441" s="54" t="s">
        <v>21</v>
      </c>
      <c r="F441" s="54" t="s">
        <v>18</v>
      </c>
      <c r="G441" s="54" t="s">
        <v>22</v>
      </c>
      <c r="H441" s="54" t="s">
        <v>19</v>
      </c>
      <c r="I441" s="54" t="s">
        <v>24</v>
      </c>
      <c r="J441" s="54" t="s">
        <v>18</v>
      </c>
      <c r="K441" s="54" t="s">
        <v>18</v>
      </c>
      <c r="L441" s="54" t="s">
        <v>20</v>
      </c>
      <c r="M441" s="54" t="s">
        <v>19</v>
      </c>
      <c r="N441" s="54" t="s">
        <v>18</v>
      </c>
      <c r="O441" s="54" t="s">
        <v>24</v>
      </c>
      <c r="P441" s="54" t="s">
        <v>22</v>
      </c>
      <c r="Q441" s="54" t="s">
        <v>45</v>
      </c>
      <c r="R441" s="160"/>
      <c r="S441" s="63" t="s">
        <v>0</v>
      </c>
      <c r="T441" s="1">
        <v>117.2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/>
      <c r="AA441" s="59">
        <f t="shared" si="107"/>
        <v>117.2</v>
      </c>
      <c r="AB441" s="58">
        <v>2018</v>
      </c>
      <c r="AC441" s="9"/>
      <c r="AD441" s="101"/>
      <c r="AE441" s="101"/>
    </row>
    <row r="442" spans="1:31" ht="15.6" hidden="1" customHeight="1" x14ac:dyDescent="0.3">
      <c r="A442" s="54" t="s">
        <v>18</v>
      </c>
      <c r="B442" s="54" t="s">
        <v>18</v>
      </c>
      <c r="C442" s="54" t="s">
        <v>25</v>
      </c>
      <c r="D442" s="54" t="s">
        <v>18</v>
      </c>
      <c r="E442" s="54" t="s">
        <v>21</v>
      </c>
      <c r="F442" s="54" t="s">
        <v>18</v>
      </c>
      <c r="G442" s="54" t="s">
        <v>22</v>
      </c>
      <c r="H442" s="54" t="s">
        <v>19</v>
      </c>
      <c r="I442" s="54" t="s">
        <v>24</v>
      </c>
      <c r="J442" s="54" t="s">
        <v>18</v>
      </c>
      <c r="K442" s="54" t="s">
        <v>18</v>
      </c>
      <c r="L442" s="54" t="s">
        <v>20</v>
      </c>
      <c r="M442" s="54" t="s">
        <v>37</v>
      </c>
      <c r="N442" s="54" t="s">
        <v>18</v>
      </c>
      <c r="O442" s="54" t="s">
        <v>24</v>
      </c>
      <c r="P442" s="54" t="s">
        <v>22</v>
      </c>
      <c r="Q442" s="54" t="s">
        <v>46</v>
      </c>
      <c r="R442" s="160"/>
      <c r="S442" s="63" t="s">
        <v>0</v>
      </c>
      <c r="T442" s="1">
        <v>22.6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/>
      <c r="AA442" s="59">
        <f t="shared" si="107"/>
        <v>22.6</v>
      </c>
      <c r="AB442" s="58">
        <v>2018</v>
      </c>
      <c r="AC442" s="9"/>
      <c r="AD442" s="101"/>
      <c r="AE442" s="101"/>
    </row>
    <row r="443" spans="1:31" ht="15.6" hidden="1" customHeight="1" x14ac:dyDescent="0.3">
      <c r="A443" s="54" t="s">
        <v>18</v>
      </c>
      <c r="B443" s="54" t="s">
        <v>18</v>
      </c>
      <c r="C443" s="54" t="s">
        <v>25</v>
      </c>
      <c r="D443" s="54" t="s">
        <v>18</v>
      </c>
      <c r="E443" s="54" t="s">
        <v>21</v>
      </c>
      <c r="F443" s="54" t="s">
        <v>18</v>
      </c>
      <c r="G443" s="54" t="s">
        <v>22</v>
      </c>
      <c r="H443" s="54" t="s">
        <v>19</v>
      </c>
      <c r="I443" s="54" t="s">
        <v>24</v>
      </c>
      <c r="J443" s="54" t="s">
        <v>18</v>
      </c>
      <c r="K443" s="54" t="s">
        <v>18</v>
      </c>
      <c r="L443" s="54" t="s">
        <v>20</v>
      </c>
      <c r="M443" s="54" t="s">
        <v>37</v>
      </c>
      <c r="N443" s="54" t="s">
        <v>18</v>
      </c>
      <c r="O443" s="54" t="s">
        <v>24</v>
      </c>
      <c r="P443" s="54" t="s">
        <v>22</v>
      </c>
      <c r="Q443" s="54" t="s">
        <v>46</v>
      </c>
      <c r="R443" s="160"/>
      <c r="S443" s="63" t="s">
        <v>0</v>
      </c>
      <c r="T443" s="1">
        <v>61.5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/>
      <c r="AA443" s="59">
        <f t="shared" si="107"/>
        <v>61.5</v>
      </c>
      <c r="AB443" s="58">
        <v>2018</v>
      </c>
      <c r="AC443" s="9"/>
      <c r="AD443" s="101"/>
      <c r="AE443" s="101"/>
    </row>
    <row r="444" spans="1:31" ht="15.6" hidden="1" customHeight="1" x14ac:dyDescent="0.3">
      <c r="A444" s="54" t="s">
        <v>18</v>
      </c>
      <c r="B444" s="54" t="s">
        <v>18</v>
      </c>
      <c r="C444" s="54" t="s">
        <v>25</v>
      </c>
      <c r="D444" s="54" t="s">
        <v>18</v>
      </c>
      <c r="E444" s="54" t="s">
        <v>21</v>
      </c>
      <c r="F444" s="54" t="s">
        <v>18</v>
      </c>
      <c r="G444" s="54" t="s">
        <v>22</v>
      </c>
      <c r="H444" s="54" t="s">
        <v>19</v>
      </c>
      <c r="I444" s="54" t="s">
        <v>24</v>
      </c>
      <c r="J444" s="54" t="s">
        <v>18</v>
      </c>
      <c r="K444" s="54" t="s">
        <v>18</v>
      </c>
      <c r="L444" s="54" t="s">
        <v>20</v>
      </c>
      <c r="M444" s="54" t="s">
        <v>37</v>
      </c>
      <c r="N444" s="54" t="s">
        <v>18</v>
      </c>
      <c r="O444" s="54" t="s">
        <v>24</v>
      </c>
      <c r="P444" s="54" t="s">
        <v>22</v>
      </c>
      <c r="Q444" s="54" t="s">
        <v>39</v>
      </c>
      <c r="R444" s="160"/>
      <c r="S444" s="63" t="s">
        <v>0</v>
      </c>
      <c r="T444" s="1">
        <v>91.7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/>
      <c r="AA444" s="59">
        <f t="shared" si="107"/>
        <v>91.7</v>
      </c>
      <c r="AB444" s="58">
        <v>2018</v>
      </c>
      <c r="AC444" s="9"/>
      <c r="AD444" s="101"/>
      <c r="AE444" s="101"/>
    </row>
    <row r="445" spans="1:31" ht="31.2" hidden="1" customHeight="1" x14ac:dyDescent="0.3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80" t="s">
        <v>252</v>
      </c>
      <c r="S445" s="84" t="s">
        <v>176</v>
      </c>
      <c r="T445" s="3">
        <v>126</v>
      </c>
      <c r="U445" s="3">
        <v>0</v>
      </c>
      <c r="V445" s="3">
        <v>0</v>
      </c>
      <c r="W445" s="3">
        <v>0</v>
      </c>
      <c r="X445" s="3">
        <v>0</v>
      </c>
      <c r="Y445" s="3">
        <v>0</v>
      </c>
      <c r="Z445" s="3"/>
      <c r="AA445" s="6">
        <f t="shared" si="107"/>
        <v>126</v>
      </c>
      <c r="AB445" s="41">
        <v>2018</v>
      </c>
      <c r="AC445" s="9"/>
      <c r="AD445" s="101"/>
      <c r="AE445" s="101"/>
    </row>
    <row r="446" spans="1:31" ht="15.6" hidden="1" customHeight="1" x14ac:dyDescent="0.3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160" t="s">
        <v>253</v>
      </c>
      <c r="S446" s="63" t="s">
        <v>0</v>
      </c>
      <c r="T446" s="1">
        <f>SUM(T447:T450)</f>
        <v>470.59999999999997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/>
      <c r="AA446" s="59">
        <f t="shared" si="107"/>
        <v>470.59999999999997</v>
      </c>
      <c r="AB446" s="58">
        <v>2018</v>
      </c>
      <c r="AC446" s="9"/>
      <c r="AD446" s="101"/>
      <c r="AE446" s="101"/>
    </row>
    <row r="447" spans="1:31" ht="15.6" hidden="1" customHeight="1" x14ac:dyDescent="0.3">
      <c r="A447" s="54" t="s">
        <v>18</v>
      </c>
      <c r="B447" s="54" t="s">
        <v>18</v>
      </c>
      <c r="C447" s="54" t="s">
        <v>25</v>
      </c>
      <c r="D447" s="54" t="s">
        <v>18</v>
      </c>
      <c r="E447" s="54" t="s">
        <v>21</v>
      </c>
      <c r="F447" s="54" t="s">
        <v>18</v>
      </c>
      <c r="G447" s="54" t="s">
        <v>22</v>
      </c>
      <c r="H447" s="54" t="s">
        <v>19</v>
      </c>
      <c r="I447" s="54" t="s">
        <v>24</v>
      </c>
      <c r="J447" s="54" t="s">
        <v>18</v>
      </c>
      <c r="K447" s="54" t="s">
        <v>18</v>
      </c>
      <c r="L447" s="54" t="s">
        <v>20</v>
      </c>
      <c r="M447" s="54" t="s">
        <v>19</v>
      </c>
      <c r="N447" s="54" t="s">
        <v>18</v>
      </c>
      <c r="O447" s="54" t="s">
        <v>24</v>
      </c>
      <c r="P447" s="54" t="s">
        <v>22</v>
      </c>
      <c r="Q447" s="54" t="s">
        <v>45</v>
      </c>
      <c r="R447" s="160"/>
      <c r="S447" s="63" t="s">
        <v>0</v>
      </c>
      <c r="T447" s="1">
        <v>188.2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/>
      <c r="AA447" s="59">
        <f t="shared" si="107"/>
        <v>188.2</v>
      </c>
      <c r="AB447" s="58">
        <v>2018</v>
      </c>
      <c r="AC447" s="9"/>
      <c r="AD447" s="101"/>
      <c r="AE447" s="101"/>
    </row>
    <row r="448" spans="1:31" ht="15.6" hidden="1" customHeight="1" x14ac:dyDescent="0.3">
      <c r="A448" s="54" t="s">
        <v>18</v>
      </c>
      <c r="B448" s="54" t="s">
        <v>18</v>
      </c>
      <c r="C448" s="54" t="s">
        <v>25</v>
      </c>
      <c r="D448" s="54" t="s">
        <v>18</v>
      </c>
      <c r="E448" s="54" t="s">
        <v>21</v>
      </c>
      <c r="F448" s="54" t="s">
        <v>18</v>
      </c>
      <c r="G448" s="54" t="s">
        <v>22</v>
      </c>
      <c r="H448" s="54" t="s">
        <v>19</v>
      </c>
      <c r="I448" s="54" t="s">
        <v>24</v>
      </c>
      <c r="J448" s="54" t="s">
        <v>18</v>
      </c>
      <c r="K448" s="54" t="s">
        <v>18</v>
      </c>
      <c r="L448" s="54" t="s">
        <v>20</v>
      </c>
      <c r="M448" s="54" t="s">
        <v>37</v>
      </c>
      <c r="N448" s="54" t="s">
        <v>18</v>
      </c>
      <c r="O448" s="54" t="s">
        <v>24</v>
      </c>
      <c r="P448" s="54" t="s">
        <v>22</v>
      </c>
      <c r="Q448" s="54" t="s">
        <v>46</v>
      </c>
      <c r="R448" s="160"/>
      <c r="S448" s="63" t="s">
        <v>0</v>
      </c>
      <c r="T448" s="1">
        <v>35.1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/>
      <c r="AA448" s="59">
        <f t="shared" si="107"/>
        <v>35.1</v>
      </c>
      <c r="AB448" s="58">
        <v>2018</v>
      </c>
      <c r="AC448" s="9"/>
      <c r="AD448" s="101"/>
      <c r="AE448" s="101"/>
    </row>
    <row r="449" spans="1:31" ht="15.6" hidden="1" customHeight="1" x14ac:dyDescent="0.3">
      <c r="A449" s="54" t="s">
        <v>18</v>
      </c>
      <c r="B449" s="54" t="s">
        <v>18</v>
      </c>
      <c r="C449" s="54" t="s">
        <v>25</v>
      </c>
      <c r="D449" s="54" t="s">
        <v>18</v>
      </c>
      <c r="E449" s="54" t="s">
        <v>21</v>
      </c>
      <c r="F449" s="54" t="s">
        <v>18</v>
      </c>
      <c r="G449" s="54" t="s">
        <v>22</v>
      </c>
      <c r="H449" s="54" t="s">
        <v>19</v>
      </c>
      <c r="I449" s="54" t="s">
        <v>24</v>
      </c>
      <c r="J449" s="54" t="s">
        <v>18</v>
      </c>
      <c r="K449" s="54" t="s">
        <v>18</v>
      </c>
      <c r="L449" s="54" t="s">
        <v>20</v>
      </c>
      <c r="M449" s="54" t="s">
        <v>37</v>
      </c>
      <c r="N449" s="54" t="s">
        <v>18</v>
      </c>
      <c r="O449" s="54" t="s">
        <v>24</v>
      </c>
      <c r="P449" s="54" t="s">
        <v>22</v>
      </c>
      <c r="Q449" s="54" t="s">
        <v>46</v>
      </c>
      <c r="R449" s="160"/>
      <c r="S449" s="63" t="s">
        <v>0</v>
      </c>
      <c r="T449" s="1">
        <v>98.8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/>
      <c r="AA449" s="59">
        <f t="shared" si="107"/>
        <v>98.8</v>
      </c>
      <c r="AB449" s="58">
        <v>2018</v>
      </c>
      <c r="AC449" s="9"/>
      <c r="AD449" s="101"/>
      <c r="AE449" s="101"/>
    </row>
    <row r="450" spans="1:31" ht="15.6" hidden="1" customHeight="1" x14ac:dyDescent="0.3">
      <c r="A450" s="54" t="s">
        <v>18</v>
      </c>
      <c r="B450" s="54" t="s">
        <v>18</v>
      </c>
      <c r="C450" s="54" t="s">
        <v>25</v>
      </c>
      <c r="D450" s="54" t="s">
        <v>18</v>
      </c>
      <c r="E450" s="54" t="s">
        <v>21</v>
      </c>
      <c r="F450" s="54" t="s">
        <v>18</v>
      </c>
      <c r="G450" s="54" t="s">
        <v>22</v>
      </c>
      <c r="H450" s="54" t="s">
        <v>19</v>
      </c>
      <c r="I450" s="54" t="s">
        <v>24</v>
      </c>
      <c r="J450" s="54" t="s">
        <v>18</v>
      </c>
      <c r="K450" s="54" t="s">
        <v>18</v>
      </c>
      <c r="L450" s="54" t="s">
        <v>20</v>
      </c>
      <c r="M450" s="54" t="s">
        <v>37</v>
      </c>
      <c r="N450" s="54" t="s">
        <v>18</v>
      </c>
      <c r="O450" s="54" t="s">
        <v>24</v>
      </c>
      <c r="P450" s="54" t="s">
        <v>22</v>
      </c>
      <c r="Q450" s="54" t="s">
        <v>39</v>
      </c>
      <c r="R450" s="160"/>
      <c r="S450" s="63" t="s">
        <v>0</v>
      </c>
      <c r="T450" s="1">
        <v>148.5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/>
      <c r="AA450" s="59">
        <f t="shared" si="107"/>
        <v>148.5</v>
      </c>
      <c r="AB450" s="58">
        <v>2018</v>
      </c>
      <c r="AC450" s="9"/>
      <c r="AD450" s="101"/>
      <c r="AE450" s="101"/>
    </row>
    <row r="451" spans="1:31" ht="31.2" hidden="1" customHeight="1" x14ac:dyDescent="0.3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80" t="s">
        <v>254</v>
      </c>
      <c r="S451" s="84" t="s">
        <v>175</v>
      </c>
      <c r="T451" s="3">
        <v>131</v>
      </c>
      <c r="U451" s="3">
        <v>0</v>
      </c>
      <c r="V451" s="3">
        <v>0</v>
      </c>
      <c r="W451" s="3">
        <v>0</v>
      </c>
      <c r="X451" s="3">
        <v>0</v>
      </c>
      <c r="Y451" s="3">
        <v>0</v>
      </c>
      <c r="Z451" s="3"/>
      <c r="AA451" s="6">
        <f t="shared" si="107"/>
        <v>131</v>
      </c>
      <c r="AB451" s="41">
        <v>2018</v>
      </c>
      <c r="AC451" s="9"/>
      <c r="AD451" s="101"/>
      <c r="AE451" s="101"/>
    </row>
    <row r="452" spans="1:31" ht="15.6" hidden="1" customHeight="1" x14ac:dyDescent="0.3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160" t="s">
        <v>255</v>
      </c>
      <c r="S452" s="63" t="s">
        <v>0</v>
      </c>
      <c r="T452" s="1">
        <f>SUM(T453:T456)</f>
        <v>879.8</v>
      </c>
      <c r="U452" s="1">
        <v>0</v>
      </c>
      <c r="V452" s="1">
        <v>0</v>
      </c>
      <c r="W452" s="1">
        <v>0</v>
      </c>
      <c r="X452" s="1">
        <v>0</v>
      </c>
      <c r="Y452" s="1">
        <v>0</v>
      </c>
      <c r="Z452" s="1"/>
      <c r="AA452" s="59">
        <f t="shared" si="107"/>
        <v>879.8</v>
      </c>
      <c r="AB452" s="58">
        <v>2018</v>
      </c>
      <c r="AC452" s="9"/>
      <c r="AD452" s="101"/>
      <c r="AE452" s="101"/>
    </row>
    <row r="453" spans="1:31" ht="15.6" hidden="1" customHeight="1" x14ac:dyDescent="0.3">
      <c r="A453" s="54" t="s">
        <v>18</v>
      </c>
      <c r="B453" s="54" t="s">
        <v>18</v>
      </c>
      <c r="C453" s="54" t="s">
        <v>25</v>
      </c>
      <c r="D453" s="54" t="s">
        <v>18</v>
      </c>
      <c r="E453" s="54" t="s">
        <v>21</v>
      </c>
      <c r="F453" s="54" t="s">
        <v>18</v>
      </c>
      <c r="G453" s="54" t="s">
        <v>22</v>
      </c>
      <c r="H453" s="54" t="s">
        <v>19</v>
      </c>
      <c r="I453" s="54" t="s">
        <v>24</v>
      </c>
      <c r="J453" s="54" t="s">
        <v>18</v>
      </c>
      <c r="K453" s="54" t="s">
        <v>18</v>
      </c>
      <c r="L453" s="54" t="s">
        <v>20</v>
      </c>
      <c r="M453" s="54" t="s">
        <v>19</v>
      </c>
      <c r="N453" s="54" t="s">
        <v>18</v>
      </c>
      <c r="O453" s="54" t="s">
        <v>24</v>
      </c>
      <c r="P453" s="54" t="s">
        <v>22</v>
      </c>
      <c r="Q453" s="54" t="s">
        <v>45</v>
      </c>
      <c r="R453" s="160"/>
      <c r="S453" s="63" t="s">
        <v>0</v>
      </c>
      <c r="T453" s="1">
        <v>350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/>
      <c r="AA453" s="59">
        <f t="shared" si="107"/>
        <v>350</v>
      </c>
      <c r="AB453" s="58">
        <v>2018</v>
      </c>
      <c r="AC453" s="9"/>
      <c r="AD453" s="101"/>
      <c r="AE453" s="101"/>
    </row>
    <row r="454" spans="1:31" ht="15.6" hidden="1" customHeight="1" x14ac:dyDescent="0.3">
      <c r="A454" s="54" t="s">
        <v>18</v>
      </c>
      <c r="B454" s="54" t="s">
        <v>18</v>
      </c>
      <c r="C454" s="54" t="s">
        <v>25</v>
      </c>
      <c r="D454" s="54" t="s">
        <v>18</v>
      </c>
      <c r="E454" s="54" t="s">
        <v>21</v>
      </c>
      <c r="F454" s="54" t="s">
        <v>18</v>
      </c>
      <c r="G454" s="54" t="s">
        <v>22</v>
      </c>
      <c r="H454" s="54" t="s">
        <v>19</v>
      </c>
      <c r="I454" s="54" t="s">
        <v>24</v>
      </c>
      <c r="J454" s="54" t="s">
        <v>18</v>
      </c>
      <c r="K454" s="54" t="s">
        <v>18</v>
      </c>
      <c r="L454" s="54" t="s">
        <v>20</v>
      </c>
      <c r="M454" s="54" t="s">
        <v>37</v>
      </c>
      <c r="N454" s="54" t="s">
        <v>18</v>
      </c>
      <c r="O454" s="54" t="s">
        <v>24</v>
      </c>
      <c r="P454" s="54" t="s">
        <v>22</v>
      </c>
      <c r="Q454" s="54" t="s">
        <v>46</v>
      </c>
      <c r="R454" s="160"/>
      <c r="S454" s="63" t="s">
        <v>0</v>
      </c>
      <c r="T454" s="1">
        <v>10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/>
      <c r="AA454" s="59">
        <f t="shared" si="107"/>
        <v>10</v>
      </c>
      <c r="AB454" s="58">
        <v>2018</v>
      </c>
      <c r="AC454" s="9"/>
      <c r="AD454" s="101"/>
      <c r="AE454" s="101"/>
    </row>
    <row r="455" spans="1:31" ht="15.6" hidden="1" customHeight="1" x14ac:dyDescent="0.3">
      <c r="A455" s="54" t="s">
        <v>18</v>
      </c>
      <c r="B455" s="54" t="s">
        <v>18</v>
      </c>
      <c r="C455" s="54" t="s">
        <v>25</v>
      </c>
      <c r="D455" s="54" t="s">
        <v>18</v>
      </c>
      <c r="E455" s="54" t="s">
        <v>21</v>
      </c>
      <c r="F455" s="54" t="s">
        <v>18</v>
      </c>
      <c r="G455" s="54" t="s">
        <v>22</v>
      </c>
      <c r="H455" s="54" t="s">
        <v>19</v>
      </c>
      <c r="I455" s="54" t="s">
        <v>24</v>
      </c>
      <c r="J455" s="54" t="s">
        <v>18</v>
      </c>
      <c r="K455" s="54" t="s">
        <v>18</v>
      </c>
      <c r="L455" s="54" t="s">
        <v>20</v>
      </c>
      <c r="M455" s="54" t="s">
        <v>37</v>
      </c>
      <c r="N455" s="54" t="s">
        <v>18</v>
      </c>
      <c r="O455" s="54" t="s">
        <v>24</v>
      </c>
      <c r="P455" s="54" t="s">
        <v>22</v>
      </c>
      <c r="Q455" s="54" t="s">
        <v>46</v>
      </c>
      <c r="R455" s="160"/>
      <c r="S455" s="63" t="s">
        <v>0</v>
      </c>
      <c r="T455" s="1">
        <v>141.69999999999999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/>
      <c r="AA455" s="59">
        <f t="shared" si="107"/>
        <v>141.69999999999999</v>
      </c>
      <c r="AB455" s="58">
        <v>2018</v>
      </c>
      <c r="AC455" s="9"/>
      <c r="AD455" s="101"/>
      <c r="AE455" s="101"/>
    </row>
    <row r="456" spans="1:31" ht="15.6" hidden="1" customHeight="1" x14ac:dyDescent="0.3">
      <c r="A456" s="54" t="s">
        <v>18</v>
      </c>
      <c r="B456" s="54" t="s">
        <v>18</v>
      </c>
      <c r="C456" s="54" t="s">
        <v>25</v>
      </c>
      <c r="D456" s="54" t="s">
        <v>18</v>
      </c>
      <c r="E456" s="54" t="s">
        <v>21</v>
      </c>
      <c r="F456" s="54" t="s">
        <v>18</v>
      </c>
      <c r="G456" s="54" t="s">
        <v>22</v>
      </c>
      <c r="H456" s="54" t="s">
        <v>19</v>
      </c>
      <c r="I456" s="54" t="s">
        <v>24</v>
      </c>
      <c r="J456" s="54" t="s">
        <v>18</v>
      </c>
      <c r="K456" s="54" t="s">
        <v>18</v>
      </c>
      <c r="L456" s="54" t="s">
        <v>20</v>
      </c>
      <c r="M456" s="54" t="s">
        <v>37</v>
      </c>
      <c r="N456" s="54" t="s">
        <v>18</v>
      </c>
      <c r="O456" s="54" t="s">
        <v>24</v>
      </c>
      <c r="P456" s="54" t="s">
        <v>22</v>
      </c>
      <c r="Q456" s="54" t="s">
        <v>39</v>
      </c>
      <c r="R456" s="160"/>
      <c r="S456" s="63" t="s">
        <v>0</v>
      </c>
      <c r="T456" s="1">
        <v>378.1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/>
      <c r="AA456" s="59">
        <f t="shared" si="107"/>
        <v>378.1</v>
      </c>
      <c r="AB456" s="58">
        <v>2018</v>
      </c>
      <c r="AC456" s="9"/>
      <c r="AD456" s="101"/>
      <c r="AE456" s="101"/>
    </row>
    <row r="457" spans="1:31" ht="27.6" hidden="1" customHeight="1" x14ac:dyDescent="0.3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90" t="s">
        <v>256</v>
      </c>
      <c r="S457" s="89" t="s">
        <v>175</v>
      </c>
      <c r="T457" s="3">
        <v>500</v>
      </c>
      <c r="U457" s="3">
        <v>0</v>
      </c>
      <c r="V457" s="3">
        <v>0</v>
      </c>
      <c r="W457" s="3">
        <v>0</v>
      </c>
      <c r="X457" s="3">
        <v>0</v>
      </c>
      <c r="Y457" s="3">
        <v>0</v>
      </c>
      <c r="Z457" s="3"/>
      <c r="AA457" s="6">
        <f t="shared" si="107"/>
        <v>500</v>
      </c>
      <c r="AB457" s="41">
        <v>2018</v>
      </c>
      <c r="AC457" s="9"/>
      <c r="AD457" s="101"/>
      <c r="AE457" s="101"/>
    </row>
    <row r="458" spans="1:31" ht="17.25" hidden="1" customHeight="1" x14ac:dyDescent="0.3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160" t="s">
        <v>257</v>
      </c>
      <c r="S458" s="63" t="s">
        <v>0</v>
      </c>
      <c r="T458" s="1">
        <f>SUM(T459:T462)</f>
        <v>811.21499999999992</v>
      </c>
      <c r="U458" s="1">
        <v>0</v>
      </c>
      <c r="V458" s="1">
        <v>0</v>
      </c>
      <c r="W458" s="1">
        <v>0</v>
      </c>
      <c r="X458" s="1">
        <v>0</v>
      </c>
      <c r="Y458" s="1">
        <v>0</v>
      </c>
      <c r="Z458" s="1"/>
      <c r="AA458" s="59">
        <f t="shared" si="107"/>
        <v>811.21499999999992</v>
      </c>
      <c r="AB458" s="58">
        <v>2018</v>
      </c>
      <c r="AC458" s="9"/>
      <c r="AD458" s="101"/>
      <c r="AE458" s="101"/>
    </row>
    <row r="459" spans="1:31" ht="15.6" hidden="1" customHeight="1" x14ac:dyDescent="0.3">
      <c r="A459" s="54" t="s">
        <v>18</v>
      </c>
      <c r="B459" s="54" t="s">
        <v>18</v>
      </c>
      <c r="C459" s="54" t="s">
        <v>25</v>
      </c>
      <c r="D459" s="54" t="s">
        <v>18</v>
      </c>
      <c r="E459" s="54" t="s">
        <v>21</v>
      </c>
      <c r="F459" s="54" t="s">
        <v>18</v>
      </c>
      <c r="G459" s="54" t="s">
        <v>22</v>
      </c>
      <c r="H459" s="54" t="s">
        <v>19</v>
      </c>
      <c r="I459" s="54" t="s">
        <v>24</v>
      </c>
      <c r="J459" s="54" t="s">
        <v>18</v>
      </c>
      <c r="K459" s="54" t="s">
        <v>18</v>
      </c>
      <c r="L459" s="54" t="s">
        <v>20</v>
      </c>
      <c r="M459" s="54" t="s">
        <v>19</v>
      </c>
      <c r="N459" s="54" t="s">
        <v>18</v>
      </c>
      <c r="O459" s="54" t="s">
        <v>24</v>
      </c>
      <c r="P459" s="54" t="s">
        <v>22</v>
      </c>
      <c r="Q459" s="54" t="s">
        <v>45</v>
      </c>
      <c r="R459" s="160"/>
      <c r="S459" s="63" t="s">
        <v>0</v>
      </c>
      <c r="T459" s="1">
        <v>324.51499999999999</v>
      </c>
      <c r="U459" s="1">
        <v>0</v>
      </c>
      <c r="V459" s="1">
        <v>0</v>
      </c>
      <c r="W459" s="1">
        <v>0</v>
      </c>
      <c r="X459" s="1">
        <v>0</v>
      </c>
      <c r="Y459" s="1">
        <v>0</v>
      </c>
      <c r="Z459" s="1"/>
      <c r="AA459" s="59">
        <f t="shared" si="107"/>
        <v>324.51499999999999</v>
      </c>
      <c r="AB459" s="58">
        <v>2018</v>
      </c>
      <c r="AC459" s="9"/>
      <c r="AD459" s="101"/>
      <c r="AE459" s="101"/>
    </row>
    <row r="460" spans="1:31" ht="15.6" hidden="1" customHeight="1" x14ac:dyDescent="0.3">
      <c r="A460" s="54" t="s">
        <v>18</v>
      </c>
      <c r="B460" s="54" t="s">
        <v>18</v>
      </c>
      <c r="C460" s="54" t="s">
        <v>25</v>
      </c>
      <c r="D460" s="54" t="s">
        <v>18</v>
      </c>
      <c r="E460" s="54" t="s">
        <v>21</v>
      </c>
      <c r="F460" s="54" t="s">
        <v>18</v>
      </c>
      <c r="G460" s="54" t="s">
        <v>22</v>
      </c>
      <c r="H460" s="54" t="s">
        <v>19</v>
      </c>
      <c r="I460" s="54" t="s">
        <v>24</v>
      </c>
      <c r="J460" s="54" t="s">
        <v>18</v>
      </c>
      <c r="K460" s="54" t="s">
        <v>18</v>
      </c>
      <c r="L460" s="54" t="s">
        <v>20</v>
      </c>
      <c r="M460" s="54" t="s">
        <v>37</v>
      </c>
      <c r="N460" s="54" t="s">
        <v>18</v>
      </c>
      <c r="O460" s="54" t="s">
        <v>24</v>
      </c>
      <c r="P460" s="54" t="s">
        <v>22</v>
      </c>
      <c r="Q460" s="54" t="s">
        <v>46</v>
      </c>
      <c r="R460" s="160"/>
      <c r="S460" s="63" t="s">
        <v>0</v>
      </c>
      <c r="T460" s="1">
        <v>15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/>
      <c r="AA460" s="59">
        <f t="shared" si="107"/>
        <v>15</v>
      </c>
      <c r="AB460" s="58">
        <v>2018</v>
      </c>
      <c r="AC460" s="9"/>
      <c r="AD460" s="101"/>
      <c r="AE460" s="101"/>
    </row>
    <row r="461" spans="1:31" ht="15.6" hidden="1" customHeight="1" x14ac:dyDescent="0.3">
      <c r="A461" s="54" t="s">
        <v>18</v>
      </c>
      <c r="B461" s="54" t="s">
        <v>18</v>
      </c>
      <c r="C461" s="54" t="s">
        <v>25</v>
      </c>
      <c r="D461" s="54" t="s">
        <v>18</v>
      </c>
      <c r="E461" s="54" t="s">
        <v>21</v>
      </c>
      <c r="F461" s="54" t="s">
        <v>18</v>
      </c>
      <c r="G461" s="54" t="s">
        <v>22</v>
      </c>
      <c r="H461" s="54" t="s">
        <v>19</v>
      </c>
      <c r="I461" s="54" t="s">
        <v>24</v>
      </c>
      <c r="J461" s="54" t="s">
        <v>18</v>
      </c>
      <c r="K461" s="54" t="s">
        <v>18</v>
      </c>
      <c r="L461" s="54" t="s">
        <v>20</v>
      </c>
      <c r="M461" s="54" t="s">
        <v>37</v>
      </c>
      <c r="N461" s="54" t="s">
        <v>18</v>
      </c>
      <c r="O461" s="54" t="s">
        <v>24</v>
      </c>
      <c r="P461" s="54" t="s">
        <v>22</v>
      </c>
      <c r="Q461" s="54" t="s">
        <v>46</v>
      </c>
      <c r="R461" s="160"/>
      <c r="S461" s="63" t="s">
        <v>0</v>
      </c>
      <c r="T461" s="1">
        <v>170</v>
      </c>
      <c r="U461" s="1">
        <v>0</v>
      </c>
      <c r="V461" s="1">
        <v>0</v>
      </c>
      <c r="W461" s="1">
        <v>0</v>
      </c>
      <c r="X461" s="1">
        <v>0</v>
      </c>
      <c r="Y461" s="1">
        <v>0</v>
      </c>
      <c r="Z461" s="1"/>
      <c r="AA461" s="59">
        <f t="shared" si="107"/>
        <v>170</v>
      </c>
      <c r="AB461" s="58">
        <v>2018</v>
      </c>
      <c r="AC461" s="9"/>
      <c r="AD461" s="101"/>
      <c r="AE461" s="101"/>
    </row>
    <row r="462" spans="1:31" ht="15.6" hidden="1" customHeight="1" x14ac:dyDescent="0.3">
      <c r="A462" s="54" t="s">
        <v>18</v>
      </c>
      <c r="B462" s="54" t="s">
        <v>18</v>
      </c>
      <c r="C462" s="54" t="s">
        <v>25</v>
      </c>
      <c r="D462" s="54" t="s">
        <v>18</v>
      </c>
      <c r="E462" s="54" t="s">
        <v>21</v>
      </c>
      <c r="F462" s="54" t="s">
        <v>18</v>
      </c>
      <c r="G462" s="54" t="s">
        <v>22</v>
      </c>
      <c r="H462" s="54" t="s">
        <v>19</v>
      </c>
      <c r="I462" s="54" t="s">
        <v>24</v>
      </c>
      <c r="J462" s="54" t="s">
        <v>18</v>
      </c>
      <c r="K462" s="54" t="s">
        <v>18</v>
      </c>
      <c r="L462" s="54" t="s">
        <v>20</v>
      </c>
      <c r="M462" s="54" t="s">
        <v>37</v>
      </c>
      <c r="N462" s="54" t="s">
        <v>18</v>
      </c>
      <c r="O462" s="54" t="s">
        <v>24</v>
      </c>
      <c r="P462" s="54" t="s">
        <v>22</v>
      </c>
      <c r="Q462" s="54" t="s">
        <v>39</v>
      </c>
      <c r="R462" s="160"/>
      <c r="S462" s="63" t="s">
        <v>0</v>
      </c>
      <c r="T462" s="1">
        <v>301.7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/>
      <c r="AA462" s="59">
        <f t="shared" si="107"/>
        <v>301.7</v>
      </c>
      <c r="AB462" s="58">
        <v>2018</v>
      </c>
      <c r="AC462" s="9"/>
      <c r="AD462" s="101"/>
      <c r="AE462" s="101"/>
    </row>
    <row r="463" spans="1:31" ht="31.2" hidden="1" customHeight="1" x14ac:dyDescent="0.3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80" t="s">
        <v>258</v>
      </c>
      <c r="S463" s="84" t="s">
        <v>8</v>
      </c>
      <c r="T463" s="44">
        <v>1</v>
      </c>
      <c r="U463" s="44">
        <v>0</v>
      </c>
      <c r="V463" s="44">
        <v>0</v>
      </c>
      <c r="W463" s="44">
        <v>0</v>
      </c>
      <c r="X463" s="44">
        <v>0</v>
      </c>
      <c r="Y463" s="44">
        <v>0</v>
      </c>
      <c r="Z463" s="44"/>
      <c r="AA463" s="49">
        <f t="shared" si="107"/>
        <v>1</v>
      </c>
      <c r="AB463" s="41">
        <v>2018</v>
      </c>
      <c r="AC463" s="9"/>
      <c r="AD463" s="101"/>
      <c r="AE463" s="101"/>
    </row>
    <row r="464" spans="1:31" ht="15.6" hidden="1" customHeight="1" x14ac:dyDescent="0.3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160" t="s">
        <v>259</v>
      </c>
      <c r="S464" s="63" t="s">
        <v>0</v>
      </c>
      <c r="T464" s="1">
        <f>SUM(T465:T468)</f>
        <v>1054.8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/>
      <c r="AA464" s="59">
        <f t="shared" si="107"/>
        <v>1054.8</v>
      </c>
      <c r="AB464" s="58">
        <v>2018</v>
      </c>
      <c r="AC464" s="9"/>
      <c r="AD464" s="101"/>
      <c r="AE464" s="101"/>
    </row>
    <row r="465" spans="1:31" ht="15.6" hidden="1" customHeight="1" x14ac:dyDescent="0.3">
      <c r="A465" s="54" t="s">
        <v>18</v>
      </c>
      <c r="B465" s="54" t="s">
        <v>18</v>
      </c>
      <c r="C465" s="54" t="s">
        <v>25</v>
      </c>
      <c r="D465" s="54" t="s">
        <v>18</v>
      </c>
      <c r="E465" s="54" t="s">
        <v>21</v>
      </c>
      <c r="F465" s="54" t="s">
        <v>18</v>
      </c>
      <c r="G465" s="54" t="s">
        <v>22</v>
      </c>
      <c r="H465" s="54" t="s">
        <v>19</v>
      </c>
      <c r="I465" s="54" t="s">
        <v>24</v>
      </c>
      <c r="J465" s="54" t="s">
        <v>18</v>
      </c>
      <c r="K465" s="54" t="s">
        <v>18</v>
      </c>
      <c r="L465" s="54" t="s">
        <v>20</v>
      </c>
      <c r="M465" s="54" t="s">
        <v>19</v>
      </c>
      <c r="N465" s="54" t="s">
        <v>18</v>
      </c>
      <c r="O465" s="54" t="s">
        <v>24</v>
      </c>
      <c r="P465" s="54" t="s">
        <v>22</v>
      </c>
      <c r="Q465" s="54" t="s">
        <v>45</v>
      </c>
      <c r="R465" s="160"/>
      <c r="S465" s="63" t="s">
        <v>0</v>
      </c>
      <c r="T465" s="1">
        <v>396.1</v>
      </c>
      <c r="U465" s="1">
        <v>0</v>
      </c>
      <c r="V465" s="1">
        <v>0</v>
      </c>
      <c r="W465" s="1">
        <v>0</v>
      </c>
      <c r="X465" s="1">
        <v>0</v>
      </c>
      <c r="Y465" s="1">
        <v>0</v>
      </c>
      <c r="Z465" s="1"/>
      <c r="AA465" s="59">
        <f t="shared" si="107"/>
        <v>396.1</v>
      </c>
      <c r="AB465" s="58">
        <v>2018</v>
      </c>
      <c r="AC465" s="9"/>
      <c r="AD465" s="101"/>
      <c r="AE465" s="101"/>
    </row>
    <row r="466" spans="1:31" ht="15.6" hidden="1" customHeight="1" x14ac:dyDescent="0.3">
      <c r="A466" s="54" t="s">
        <v>18</v>
      </c>
      <c r="B466" s="54" t="s">
        <v>18</v>
      </c>
      <c r="C466" s="54" t="s">
        <v>25</v>
      </c>
      <c r="D466" s="54" t="s">
        <v>18</v>
      </c>
      <c r="E466" s="54" t="s">
        <v>21</v>
      </c>
      <c r="F466" s="54" t="s">
        <v>18</v>
      </c>
      <c r="G466" s="54" t="s">
        <v>22</v>
      </c>
      <c r="H466" s="54" t="s">
        <v>19</v>
      </c>
      <c r="I466" s="54" t="s">
        <v>24</v>
      </c>
      <c r="J466" s="54" t="s">
        <v>18</v>
      </c>
      <c r="K466" s="54" t="s">
        <v>18</v>
      </c>
      <c r="L466" s="54" t="s">
        <v>20</v>
      </c>
      <c r="M466" s="54" t="s">
        <v>37</v>
      </c>
      <c r="N466" s="54" t="s">
        <v>18</v>
      </c>
      <c r="O466" s="54" t="s">
        <v>24</v>
      </c>
      <c r="P466" s="54" t="s">
        <v>22</v>
      </c>
      <c r="Q466" s="54" t="s">
        <v>46</v>
      </c>
      <c r="R466" s="160"/>
      <c r="S466" s="63" t="s">
        <v>0</v>
      </c>
      <c r="T466" s="1">
        <v>5</v>
      </c>
      <c r="U466" s="1">
        <v>0</v>
      </c>
      <c r="V466" s="1">
        <v>0</v>
      </c>
      <c r="W466" s="1">
        <v>0</v>
      </c>
      <c r="X466" s="1">
        <v>0</v>
      </c>
      <c r="Y466" s="1">
        <v>0</v>
      </c>
      <c r="Z466" s="1"/>
      <c r="AA466" s="59">
        <f t="shared" si="107"/>
        <v>5</v>
      </c>
      <c r="AB466" s="58">
        <v>2018</v>
      </c>
      <c r="AC466" s="9"/>
      <c r="AD466" s="101"/>
      <c r="AE466" s="101"/>
    </row>
    <row r="467" spans="1:31" ht="15.6" hidden="1" customHeight="1" x14ac:dyDescent="0.3">
      <c r="A467" s="54" t="s">
        <v>18</v>
      </c>
      <c r="B467" s="54" t="s">
        <v>18</v>
      </c>
      <c r="C467" s="54" t="s">
        <v>25</v>
      </c>
      <c r="D467" s="54" t="s">
        <v>18</v>
      </c>
      <c r="E467" s="54" t="s">
        <v>21</v>
      </c>
      <c r="F467" s="54" t="s">
        <v>18</v>
      </c>
      <c r="G467" s="54" t="s">
        <v>22</v>
      </c>
      <c r="H467" s="54" t="s">
        <v>19</v>
      </c>
      <c r="I467" s="54" t="s">
        <v>24</v>
      </c>
      <c r="J467" s="54" t="s">
        <v>18</v>
      </c>
      <c r="K467" s="54" t="s">
        <v>18</v>
      </c>
      <c r="L467" s="54" t="s">
        <v>20</v>
      </c>
      <c r="M467" s="54" t="s">
        <v>37</v>
      </c>
      <c r="N467" s="54" t="s">
        <v>18</v>
      </c>
      <c r="O467" s="54" t="s">
        <v>24</v>
      </c>
      <c r="P467" s="54" t="s">
        <v>22</v>
      </c>
      <c r="Q467" s="54" t="s">
        <v>46</v>
      </c>
      <c r="R467" s="160"/>
      <c r="S467" s="63" t="s">
        <v>0</v>
      </c>
      <c r="T467" s="1">
        <v>253.7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/>
      <c r="AA467" s="59">
        <f t="shared" si="107"/>
        <v>253.7</v>
      </c>
      <c r="AB467" s="58">
        <v>2018</v>
      </c>
      <c r="AC467" s="9"/>
      <c r="AD467" s="101"/>
      <c r="AE467" s="101"/>
    </row>
    <row r="468" spans="1:31" ht="15.6" hidden="1" customHeight="1" x14ac:dyDescent="0.3">
      <c r="A468" s="54" t="s">
        <v>18</v>
      </c>
      <c r="B468" s="54" t="s">
        <v>18</v>
      </c>
      <c r="C468" s="54" t="s">
        <v>25</v>
      </c>
      <c r="D468" s="54" t="s">
        <v>18</v>
      </c>
      <c r="E468" s="54" t="s">
        <v>21</v>
      </c>
      <c r="F468" s="54" t="s">
        <v>18</v>
      </c>
      <c r="G468" s="54" t="s">
        <v>22</v>
      </c>
      <c r="H468" s="54" t="s">
        <v>19</v>
      </c>
      <c r="I468" s="54" t="s">
        <v>24</v>
      </c>
      <c r="J468" s="54" t="s">
        <v>18</v>
      </c>
      <c r="K468" s="54" t="s">
        <v>18</v>
      </c>
      <c r="L468" s="54" t="s">
        <v>20</v>
      </c>
      <c r="M468" s="54" t="s">
        <v>37</v>
      </c>
      <c r="N468" s="54" t="s">
        <v>18</v>
      </c>
      <c r="O468" s="54" t="s">
        <v>24</v>
      </c>
      <c r="P468" s="54" t="s">
        <v>22</v>
      </c>
      <c r="Q468" s="54" t="s">
        <v>39</v>
      </c>
      <c r="R468" s="160"/>
      <c r="S468" s="63" t="s">
        <v>0</v>
      </c>
      <c r="T468" s="1">
        <v>400</v>
      </c>
      <c r="U468" s="1">
        <v>0</v>
      </c>
      <c r="V468" s="1">
        <v>0</v>
      </c>
      <c r="W468" s="1">
        <v>0</v>
      </c>
      <c r="X468" s="1">
        <v>0</v>
      </c>
      <c r="Y468" s="1">
        <v>0</v>
      </c>
      <c r="Z468" s="1"/>
      <c r="AA468" s="59">
        <f t="shared" si="107"/>
        <v>400</v>
      </c>
      <c r="AB468" s="58">
        <v>2018</v>
      </c>
      <c r="AC468" s="9"/>
      <c r="AD468" s="101"/>
      <c r="AE468" s="101"/>
    </row>
    <row r="469" spans="1:31" ht="31.2" hidden="1" customHeight="1" x14ac:dyDescent="0.3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80" t="s">
        <v>260</v>
      </c>
      <c r="S469" s="84" t="s">
        <v>8</v>
      </c>
      <c r="T469" s="44">
        <v>1</v>
      </c>
      <c r="U469" s="44">
        <v>0</v>
      </c>
      <c r="V469" s="44">
        <v>0</v>
      </c>
      <c r="W469" s="44">
        <v>0</v>
      </c>
      <c r="X469" s="44">
        <v>0</v>
      </c>
      <c r="Y469" s="44">
        <v>0</v>
      </c>
      <c r="Z469" s="44"/>
      <c r="AA469" s="49">
        <f>SUM(T469:Y469)</f>
        <v>1</v>
      </c>
      <c r="AB469" s="41">
        <v>2018</v>
      </c>
      <c r="AC469" s="9"/>
      <c r="AD469" s="101"/>
      <c r="AE469" s="101"/>
    </row>
    <row r="470" spans="1:31" ht="31.2" x14ac:dyDescent="0.3">
      <c r="A470" s="54" t="s">
        <v>18</v>
      </c>
      <c r="B470" s="54" t="s">
        <v>19</v>
      </c>
      <c r="C470" s="54" t="s">
        <v>20</v>
      </c>
      <c r="D470" s="54" t="s">
        <v>18</v>
      </c>
      <c r="E470" s="54" t="s">
        <v>24</v>
      </c>
      <c r="F470" s="54" t="s">
        <v>18</v>
      </c>
      <c r="G470" s="54" t="s">
        <v>43</v>
      </c>
      <c r="H470" s="54" t="s">
        <v>19</v>
      </c>
      <c r="I470" s="54" t="s">
        <v>24</v>
      </c>
      <c r="J470" s="54" t="s">
        <v>18</v>
      </c>
      <c r="K470" s="54" t="s">
        <v>18</v>
      </c>
      <c r="L470" s="54" t="s">
        <v>20</v>
      </c>
      <c r="M470" s="54" t="s">
        <v>37</v>
      </c>
      <c r="N470" s="54" t="s">
        <v>18</v>
      </c>
      <c r="O470" s="54" t="s">
        <v>24</v>
      </c>
      <c r="P470" s="54" t="s">
        <v>22</v>
      </c>
      <c r="Q470" s="54" t="s">
        <v>18</v>
      </c>
      <c r="R470" s="77" t="s">
        <v>140</v>
      </c>
      <c r="S470" s="55" t="s">
        <v>0</v>
      </c>
      <c r="T470" s="1">
        <f>10000-9745-255</f>
        <v>0</v>
      </c>
      <c r="U470" s="1">
        <f>226.8-200-26.8</f>
        <v>0</v>
      </c>
      <c r="V470" s="1">
        <f>8228.3-8228.3</f>
        <v>0</v>
      </c>
      <c r="W470" s="1">
        <v>0</v>
      </c>
      <c r="X470" s="1">
        <f t="shared" ref="X470" si="108">8228.3-8228.3</f>
        <v>0</v>
      </c>
      <c r="Y470" s="1">
        <v>0</v>
      </c>
      <c r="Z470" s="1">
        <v>8228.2999999999993</v>
      </c>
      <c r="AA470" s="59">
        <f t="shared" ref="AA470:AA497" si="109">SUM(T470:Z470)</f>
        <v>8228.2999999999993</v>
      </c>
      <c r="AB470" s="58">
        <v>2024</v>
      </c>
      <c r="AC470" s="118"/>
      <c r="AD470" s="101"/>
      <c r="AE470" s="101"/>
    </row>
    <row r="471" spans="1:31" ht="46.8" x14ac:dyDescent="0.3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78" t="s">
        <v>316</v>
      </c>
      <c r="S471" s="62" t="s">
        <v>52</v>
      </c>
      <c r="T471" s="3">
        <v>0</v>
      </c>
      <c r="U471" s="3">
        <v>0</v>
      </c>
      <c r="V471" s="3">
        <v>0</v>
      </c>
      <c r="W471" s="3">
        <v>0</v>
      </c>
      <c r="X471" s="3">
        <v>0</v>
      </c>
      <c r="Y471" s="3">
        <v>0</v>
      </c>
      <c r="Z471" s="3">
        <v>7</v>
      </c>
      <c r="AA471" s="6">
        <f t="shared" si="109"/>
        <v>7</v>
      </c>
      <c r="AB471" s="41">
        <v>2024</v>
      </c>
      <c r="AC471" s="128"/>
      <c r="AD471" s="101"/>
      <c r="AE471" s="101"/>
    </row>
    <row r="472" spans="1:31" ht="46.8" x14ac:dyDescent="0.3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78" t="s">
        <v>317</v>
      </c>
      <c r="S472" s="62" t="s">
        <v>38</v>
      </c>
      <c r="T472" s="44">
        <v>0</v>
      </c>
      <c r="U472" s="44">
        <v>0</v>
      </c>
      <c r="V472" s="44">
        <v>0</v>
      </c>
      <c r="W472" s="44">
        <v>0</v>
      </c>
      <c r="X472" s="44">
        <v>0</v>
      </c>
      <c r="Y472" s="44">
        <v>0</v>
      </c>
      <c r="Z472" s="44">
        <v>7</v>
      </c>
      <c r="AA472" s="49">
        <f t="shared" si="109"/>
        <v>7</v>
      </c>
      <c r="AB472" s="41">
        <v>2024</v>
      </c>
      <c r="AC472" s="128"/>
      <c r="AD472" s="101"/>
      <c r="AE472" s="101"/>
    </row>
    <row r="473" spans="1:31" s="51" customFormat="1" ht="46.8" x14ac:dyDescent="0.3">
      <c r="A473" s="54"/>
      <c r="B473" s="54"/>
      <c r="C473" s="54"/>
      <c r="D473" s="54" t="s">
        <v>18</v>
      </c>
      <c r="E473" s="54" t="s">
        <v>21</v>
      </c>
      <c r="F473" s="54" t="s">
        <v>18</v>
      </c>
      <c r="G473" s="54" t="s">
        <v>22</v>
      </c>
      <c r="H473" s="54" t="s">
        <v>19</v>
      </c>
      <c r="I473" s="54" t="s">
        <v>24</v>
      </c>
      <c r="J473" s="54" t="s">
        <v>18</v>
      </c>
      <c r="K473" s="54" t="s">
        <v>265</v>
      </c>
      <c r="L473" s="54" t="s">
        <v>20</v>
      </c>
      <c r="M473" s="54" t="s">
        <v>21</v>
      </c>
      <c r="N473" s="54" t="s">
        <v>21</v>
      </c>
      <c r="O473" s="54" t="s">
        <v>21</v>
      </c>
      <c r="P473" s="54" t="s">
        <v>21</v>
      </c>
      <c r="Q473" s="54" t="s">
        <v>20</v>
      </c>
      <c r="R473" s="139" t="s">
        <v>329</v>
      </c>
      <c r="S473" s="58" t="s">
        <v>0</v>
      </c>
      <c r="T473" s="59">
        <f>T476+T479+T482+T485</f>
        <v>0</v>
      </c>
      <c r="U473" s="59">
        <f t="shared" ref="U473:V473" si="110">U476+U479+U482+U485</f>
        <v>0</v>
      </c>
      <c r="V473" s="59">
        <f t="shared" si="110"/>
        <v>0</v>
      </c>
      <c r="W473" s="59">
        <f>W476+W479+W482+W485+W488</f>
        <v>16089.1</v>
      </c>
      <c r="X473" s="59">
        <f t="shared" ref="X473:Z473" si="111">X476+X479+X482+X485+X488</f>
        <v>5000</v>
      </c>
      <c r="Y473" s="59">
        <f t="shared" si="111"/>
        <v>5000</v>
      </c>
      <c r="Z473" s="59">
        <f t="shared" si="111"/>
        <v>10762</v>
      </c>
      <c r="AA473" s="59">
        <f t="shared" si="109"/>
        <v>36851.1</v>
      </c>
      <c r="AB473" s="58">
        <v>2024</v>
      </c>
      <c r="AC473" s="33"/>
      <c r="AD473" s="50"/>
    </row>
    <row r="474" spans="1:31" s="51" customFormat="1" ht="31.2" x14ac:dyDescent="0.3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40" t="s">
        <v>237</v>
      </c>
      <c r="S474" s="52" t="s">
        <v>38</v>
      </c>
      <c r="T474" s="44">
        <f>T477+T480+T483+T486</f>
        <v>0</v>
      </c>
      <c r="U474" s="44">
        <f t="shared" ref="U474:V474" si="112">U477+U480+U483+U486</f>
        <v>0</v>
      </c>
      <c r="V474" s="44">
        <f t="shared" si="112"/>
        <v>0</v>
      </c>
      <c r="W474" s="44">
        <f>W477+W480+W483+W486+W491</f>
        <v>2</v>
      </c>
      <c r="X474" s="44">
        <f t="shared" ref="X474:Y474" si="113">X477+X480+X483+X486+X491</f>
        <v>5</v>
      </c>
      <c r="Y474" s="44">
        <f t="shared" si="113"/>
        <v>5</v>
      </c>
      <c r="Z474" s="44">
        <f t="shared" ref="Z474" si="114">Z477+Z480+Z483+Z486</f>
        <v>30</v>
      </c>
      <c r="AA474" s="49">
        <f t="shared" si="109"/>
        <v>42</v>
      </c>
      <c r="AB474" s="142">
        <v>2024</v>
      </c>
      <c r="AC474" s="33"/>
      <c r="AD474" s="50"/>
    </row>
    <row r="475" spans="1:31" s="8" customFormat="1" ht="31.2" x14ac:dyDescent="0.3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61" t="s">
        <v>238</v>
      </c>
      <c r="S475" s="62" t="s">
        <v>52</v>
      </c>
      <c r="T475" s="62">
        <f>T478+T481+T484+T487</f>
        <v>0</v>
      </c>
      <c r="U475" s="62">
        <f>U478+U481+U484+U487</f>
        <v>0</v>
      </c>
      <c r="V475" s="62">
        <f t="shared" ref="V475" si="115">V478+V481+V484+V487</f>
        <v>0</v>
      </c>
      <c r="W475" s="44">
        <f>W478+W481+W484+W487+W492</f>
        <v>4</v>
      </c>
      <c r="X475" s="44">
        <f t="shared" ref="X475:Y475" si="116">X478+X481+X484+X487+X492</f>
        <v>5</v>
      </c>
      <c r="Y475" s="44">
        <f t="shared" si="116"/>
        <v>5</v>
      </c>
      <c r="Z475" s="62">
        <f t="shared" ref="Z475" si="117">Z478+Z481+Z484+Z487</f>
        <v>58.2</v>
      </c>
      <c r="AA475" s="53">
        <f t="shared" si="109"/>
        <v>72.2</v>
      </c>
      <c r="AB475" s="142">
        <v>2024</v>
      </c>
      <c r="AC475" s="33"/>
      <c r="AD475" s="60"/>
    </row>
    <row r="476" spans="1:31" s="51" customFormat="1" ht="46.8" x14ac:dyDescent="0.3">
      <c r="A476" s="54" t="s">
        <v>18</v>
      </c>
      <c r="B476" s="54" t="s">
        <v>18</v>
      </c>
      <c r="C476" s="54" t="s">
        <v>22</v>
      </c>
      <c r="D476" s="54" t="s">
        <v>18</v>
      </c>
      <c r="E476" s="54" t="s">
        <v>21</v>
      </c>
      <c r="F476" s="54" t="s">
        <v>18</v>
      </c>
      <c r="G476" s="54" t="s">
        <v>22</v>
      </c>
      <c r="H476" s="54" t="s">
        <v>19</v>
      </c>
      <c r="I476" s="54" t="s">
        <v>24</v>
      </c>
      <c r="J476" s="54" t="s">
        <v>18</v>
      </c>
      <c r="K476" s="54" t="s">
        <v>265</v>
      </c>
      <c r="L476" s="54" t="s">
        <v>20</v>
      </c>
      <c r="M476" s="54" t="s">
        <v>21</v>
      </c>
      <c r="N476" s="54" t="s">
        <v>21</v>
      </c>
      <c r="O476" s="54" t="s">
        <v>21</v>
      </c>
      <c r="P476" s="54" t="s">
        <v>21</v>
      </c>
      <c r="Q476" s="54" t="s">
        <v>20</v>
      </c>
      <c r="R476" s="139" t="s">
        <v>329</v>
      </c>
      <c r="S476" s="55" t="s">
        <v>0</v>
      </c>
      <c r="T476" s="1">
        <v>0</v>
      </c>
      <c r="U476" s="1">
        <f>3100.4-200-2900.4</f>
        <v>0</v>
      </c>
      <c r="V476" s="1">
        <f>2000.4-2000.4</f>
        <v>0</v>
      </c>
      <c r="W476" s="1">
        <v>0</v>
      </c>
      <c r="X476" s="1">
        <f>3100.4-200-2900.4</f>
        <v>0</v>
      </c>
      <c r="Y476" s="1">
        <f>2000.4-2000.4</f>
        <v>0</v>
      </c>
      <c r="Z476" s="1">
        <v>3100.4</v>
      </c>
      <c r="AA476" s="59">
        <f t="shared" si="109"/>
        <v>3100.4</v>
      </c>
      <c r="AB476" s="58">
        <v>2024</v>
      </c>
      <c r="AC476" s="33"/>
      <c r="AD476" s="50"/>
    </row>
    <row r="477" spans="1:31" s="51" customFormat="1" ht="46.8" x14ac:dyDescent="0.3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40" t="s">
        <v>133</v>
      </c>
      <c r="S477" s="52" t="s">
        <v>38</v>
      </c>
      <c r="T477" s="44">
        <v>0</v>
      </c>
      <c r="U477" s="44">
        <v>0</v>
      </c>
      <c r="V477" s="44">
        <f>12-12</f>
        <v>0</v>
      </c>
      <c r="W477" s="44">
        <v>0</v>
      </c>
      <c r="X477" s="44">
        <v>0</v>
      </c>
      <c r="Y477" s="44">
        <f>12-12</f>
        <v>0</v>
      </c>
      <c r="Z477" s="44">
        <v>12</v>
      </c>
      <c r="AA477" s="49">
        <f t="shared" si="109"/>
        <v>12</v>
      </c>
      <c r="AB477" s="142">
        <v>2024</v>
      </c>
      <c r="AC477" s="33"/>
      <c r="AD477" s="50"/>
    </row>
    <row r="478" spans="1:31" s="51" customFormat="1" ht="46.8" x14ac:dyDescent="0.3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40" t="s">
        <v>134</v>
      </c>
      <c r="S478" s="52" t="s">
        <v>52</v>
      </c>
      <c r="T478" s="3">
        <v>0</v>
      </c>
      <c r="U478" s="3">
        <v>0</v>
      </c>
      <c r="V478" s="3">
        <v>0</v>
      </c>
      <c r="W478" s="3">
        <v>0</v>
      </c>
      <c r="X478" s="3">
        <v>0</v>
      </c>
      <c r="Y478" s="3">
        <v>0</v>
      </c>
      <c r="Z478" s="3">
        <v>19</v>
      </c>
      <c r="AA478" s="53">
        <f t="shared" si="109"/>
        <v>19</v>
      </c>
      <c r="AB478" s="142">
        <v>2024</v>
      </c>
      <c r="AC478" s="33"/>
      <c r="AD478" s="50"/>
    </row>
    <row r="479" spans="1:31" s="51" customFormat="1" ht="46.8" x14ac:dyDescent="0.3">
      <c r="A479" s="54" t="s">
        <v>18</v>
      </c>
      <c r="B479" s="54" t="s">
        <v>18</v>
      </c>
      <c r="C479" s="54" t="s">
        <v>24</v>
      </c>
      <c r="D479" s="54" t="s">
        <v>18</v>
      </c>
      <c r="E479" s="54" t="s">
        <v>21</v>
      </c>
      <c r="F479" s="54" t="s">
        <v>18</v>
      </c>
      <c r="G479" s="54" t="s">
        <v>22</v>
      </c>
      <c r="H479" s="54" t="s">
        <v>19</v>
      </c>
      <c r="I479" s="54" t="s">
        <v>24</v>
      </c>
      <c r="J479" s="54" t="s">
        <v>18</v>
      </c>
      <c r="K479" s="54" t="s">
        <v>265</v>
      </c>
      <c r="L479" s="54" t="s">
        <v>20</v>
      </c>
      <c r="M479" s="54" t="s">
        <v>21</v>
      </c>
      <c r="N479" s="54" t="s">
        <v>21</v>
      </c>
      <c r="O479" s="54" t="s">
        <v>21</v>
      </c>
      <c r="P479" s="54" t="s">
        <v>21</v>
      </c>
      <c r="Q479" s="54" t="s">
        <v>20</v>
      </c>
      <c r="R479" s="139" t="s">
        <v>329</v>
      </c>
      <c r="S479" s="55" t="s">
        <v>0</v>
      </c>
      <c r="T479" s="1">
        <v>0</v>
      </c>
      <c r="U479" s="1">
        <f>2000-100-1900</f>
        <v>0</v>
      </c>
      <c r="V479" s="1">
        <f>2000-2000</f>
        <v>0</v>
      </c>
      <c r="W479" s="1">
        <v>0</v>
      </c>
      <c r="X479" s="1">
        <f>2000-100-1900</f>
        <v>0</v>
      </c>
      <c r="Y479" s="1">
        <f>2000-2000</f>
        <v>0</v>
      </c>
      <c r="Z479" s="1">
        <v>2000</v>
      </c>
      <c r="AA479" s="59">
        <f t="shared" si="109"/>
        <v>2000</v>
      </c>
      <c r="AB479" s="58">
        <v>2024</v>
      </c>
      <c r="AC479" s="33"/>
      <c r="AD479" s="50"/>
    </row>
    <row r="480" spans="1:31" s="51" customFormat="1" ht="46.8" x14ac:dyDescent="0.3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40" t="s">
        <v>273</v>
      </c>
      <c r="S480" s="52" t="s">
        <v>38</v>
      </c>
      <c r="T480" s="44">
        <v>0</v>
      </c>
      <c r="U480" s="44">
        <v>0</v>
      </c>
      <c r="V480" s="44">
        <v>0</v>
      </c>
      <c r="W480" s="44">
        <v>0</v>
      </c>
      <c r="X480" s="44">
        <v>0</v>
      </c>
      <c r="Y480" s="44">
        <v>0</v>
      </c>
      <c r="Z480" s="44">
        <v>9</v>
      </c>
      <c r="AA480" s="49">
        <f t="shared" si="109"/>
        <v>9</v>
      </c>
      <c r="AB480" s="142">
        <v>2024</v>
      </c>
      <c r="AC480" s="33"/>
      <c r="AD480" s="50"/>
    </row>
    <row r="481" spans="1:30" s="51" customFormat="1" ht="46.8" x14ac:dyDescent="0.3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40" t="s">
        <v>274</v>
      </c>
      <c r="S481" s="52" t="s">
        <v>52</v>
      </c>
      <c r="T481" s="3">
        <v>0</v>
      </c>
      <c r="U481" s="3">
        <v>0</v>
      </c>
      <c r="V481" s="3">
        <v>0</v>
      </c>
      <c r="W481" s="3">
        <v>0</v>
      </c>
      <c r="X481" s="3">
        <v>0</v>
      </c>
      <c r="Y481" s="3">
        <v>0</v>
      </c>
      <c r="Z481" s="3">
        <v>14.3</v>
      </c>
      <c r="AA481" s="53">
        <f t="shared" si="109"/>
        <v>14.3</v>
      </c>
      <c r="AB481" s="142">
        <v>2024</v>
      </c>
      <c r="AC481" s="121"/>
      <c r="AD481" s="113"/>
    </row>
    <row r="482" spans="1:30" s="51" customFormat="1" ht="46.8" x14ac:dyDescent="0.3">
      <c r="A482" s="54" t="s">
        <v>18</v>
      </c>
      <c r="B482" s="54" t="s">
        <v>18</v>
      </c>
      <c r="C482" s="54" t="s">
        <v>21</v>
      </c>
      <c r="D482" s="54" t="s">
        <v>18</v>
      </c>
      <c r="E482" s="54" t="s">
        <v>21</v>
      </c>
      <c r="F482" s="54" t="s">
        <v>18</v>
      </c>
      <c r="G482" s="54" t="s">
        <v>22</v>
      </c>
      <c r="H482" s="54" t="s">
        <v>19</v>
      </c>
      <c r="I482" s="54" t="s">
        <v>24</v>
      </c>
      <c r="J482" s="54" t="s">
        <v>18</v>
      </c>
      <c r="K482" s="54" t="s">
        <v>265</v>
      </c>
      <c r="L482" s="54" t="s">
        <v>20</v>
      </c>
      <c r="M482" s="54" t="s">
        <v>21</v>
      </c>
      <c r="N482" s="54" t="s">
        <v>21</v>
      </c>
      <c r="O482" s="54" t="s">
        <v>21</v>
      </c>
      <c r="P482" s="54" t="s">
        <v>21</v>
      </c>
      <c r="Q482" s="54" t="s">
        <v>20</v>
      </c>
      <c r="R482" s="139" t="s">
        <v>330</v>
      </c>
      <c r="S482" s="55" t="s">
        <v>0</v>
      </c>
      <c r="T482" s="1">
        <v>0</v>
      </c>
      <c r="U482" s="1">
        <f>2860.5-100-2760.5</f>
        <v>0</v>
      </c>
      <c r="V482" s="1">
        <f>2860.6-2860.6</f>
        <v>0</v>
      </c>
      <c r="W482" s="1">
        <v>0</v>
      </c>
      <c r="X482" s="1">
        <f>2860.5-100-2760.5</f>
        <v>0</v>
      </c>
      <c r="Y482" s="1">
        <f>2860.6-2860.6</f>
        <v>0</v>
      </c>
      <c r="Z482" s="1">
        <v>2860.5</v>
      </c>
      <c r="AA482" s="59">
        <f t="shared" si="109"/>
        <v>2860.5</v>
      </c>
      <c r="AB482" s="58">
        <v>2024</v>
      </c>
      <c r="AC482" s="33"/>
      <c r="AD482" s="50"/>
    </row>
    <row r="483" spans="1:30" s="51" customFormat="1" ht="46.8" x14ac:dyDescent="0.3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40" t="s">
        <v>275</v>
      </c>
      <c r="S483" s="52" t="s">
        <v>38</v>
      </c>
      <c r="T483" s="44">
        <v>0</v>
      </c>
      <c r="U483" s="44">
        <v>0</v>
      </c>
      <c r="V483" s="44">
        <v>0</v>
      </c>
      <c r="W483" s="44">
        <v>0</v>
      </c>
      <c r="X483" s="44">
        <v>0</v>
      </c>
      <c r="Y483" s="44">
        <v>0</v>
      </c>
      <c r="Z483" s="44">
        <v>2</v>
      </c>
      <c r="AA483" s="49">
        <f t="shared" si="109"/>
        <v>2</v>
      </c>
      <c r="AB483" s="142">
        <v>2024</v>
      </c>
      <c r="AC483" s="33"/>
      <c r="AD483" s="50"/>
    </row>
    <row r="484" spans="1:30" s="51" customFormat="1" ht="46.8" x14ac:dyDescent="0.3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40" t="s">
        <v>276</v>
      </c>
      <c r="S484" s="52" t="s">
        <v>52</v>
      </c>
      <c r="T484" s="3">
        <v>0</v>
      </c>
      <c r="U484" s="3">
        <v>0</v>
      </c>
      <c r="V484" s="3">
        <v>0</v>
      </c>
      <c r="W484" s="3">
        <v>0</v>
      </c>
      <c r="X484" s="3">
        <v>0</v>
      </c>
      <c r="Y484" s="3">
        <v>0</v>
      </c>
      <c r="Z484" s="3">
        <v>13.6</v>
      </c>
      <c r="AA484" s="53">
        <f t="shared" si="109"/>
        <v>13.6</v>
      </c>
      <c r="AB484" s="142">
        <v>2024</v>
      </c>
      <c r="AC484" s="33"/>
      <c r="AD484" s="50"/>
    </row>
    <row r="485" spans="1:30" s="51" customFormat="1" ht="46.8" x14ac:dyDescent="0.3">
      <c r="A485" s="54" t="s">
        <v>18</v>
      </c>
      <c r="B485" s="54" t="s">
        <v>18</v>
      </c>
      <c r="C485" s="54" t="s">
        <v>25</v>
      </c>
      <c r="D485" s="54" t="s">
        <v>18</v>
      </c>
      <c r="E485" s="54" t="s">
        <v>21</v>
      </c>
      <c r="F485" s="54" t="s">
        <v>18</v>
      </c>
      <c r="G485" s="54" t="s">
        <v>22</v>
      </c>
      <c r="H485" s="54" t="s">
        <v>19</v>
      </c>
      <c r="I485" s="54" t="s">
        <v>24</v>
      </c>
      <c r="J485" s="54" t="s">
        <v>18</v>
      </c>
      <c r="K485" s="54" t="s">
        <v>265</v>
      </c>
      <c r="L485" s="54" t="s">
        <v>20</v>
      </c>
      <c r="M485" s="54" t="s">
        <v>21</v>
      </c>
      <c r="N485" s="54" t="s">
        <v>21</v>
      </c>
      <c r="O485" s="54" t="s">
        <v>21</v>
      </c>
      <c r="P485" s="54" t="s">
        <v>21</v>
      </c>
      <c r="Q485" s="54" t="s">
        <v>20</v>
      </c>
      <c r="R485" s="139" t="s">
        <v>329</v>
      </c>
      <c r="S485" s="55" t="s">
        <v>0</v>
      </c>
      <c r="T485" s="1">
        <v>0</v>
      </c>
      <c r="U485" s="1">
        <f>2801.1-100-2701.1</f>
        <v>0</v>
      </c>
      <c r="V485" s="1">
        <f>2801.1-2801.1</f>
        <v>0</v>
      </c>
      <c r="W485" s="1">
        <v>0</v>
      </c>
      <c r="X485" s="1">
        <f>2801.1-100-2701.1</f>
        <v>0</v>
      </c>
      <c r="Y485" s="1">
        <f>2801.1-2801.1</f>
        <v>0</v>
      </c>
      <c r="Z485" s="1">
        <v>2801.1</v>
      </c>
      <c r="AA485" s="59">
        <f t="shared" si="109"/>
        <v>2801.1</v>
      </c>
      <c r="AB485" s="58">
        <v>2024</v>
      </c>
      <c r="AC485" s="33"/>
      <c r="AD485" s="50"/>
    </row>
    <row r="486" spans="1:30" s="51" customFormat="1" ht="46.8" x14ac:dyDescent="0.3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40" t="s">
        <v>277</v>
      </c>
      <c r="S486" s="52" t="s">
        <v>38</v>
      </c>
      <c r="T486" s="44">
        <v>0</v>
      </c>
      <c r="U486" s="44">
        <v>0</v>
      </c>
      <c r="V486" s="44">
        <v>0</v>
      </c>
      <c r="W486" s="44">
        <v>0</v>
      </c>
      <c r="X486" s="44">
        <v>0</v>
      </c>
      <c r="Y486" s="44">
        <v>0</v>
      </c>
      <c r="Z486" s="44">
        <v>7</v>
      </c>
      <c r="AA486" s="49">
        <f t="shared" si="109"/>
        <v>7</v>
      </c>
      <c r="AB486" s="142">
        <v>2024</v>
      </c>
      <c r="AC486" s="33"/>
      <c r="AD486" s="50"/>
    </row>
    <row r="487" spans="1:30" s="51" customFormat="1" ht="46.8" x14ac:dyDescent="0.3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40" t="s">
        <v>278</v>
      </c>
      <c r="S487" s="52" t="s">
        <v>52</v>
      </c>
      <c r="T487" s="3">
        <v>0</v>
      </c>
      <c r="U487" s="3">
        <v>0</v>
      </c>
      <c r="V487" s="3">
        <v>0</v>
      </c>
      <c r="W487" s="3">
        <v>0</v>
      </c>
      <c r="X487" s="3">
        <v>0</v>
      </c>
      <c r="Y487" s="3">
        <v>0</v>
      </c>
      <c r="Z487" s="3">
        <v>11.3</v>
      </c>
      <c r="AA487" s="53">
        <f t="shared" si="109"/>
        <v>11.3</v>
      </c>
      <c r="AB487" s="142">
        <v>2024</v>
      </c>
      <c r="AC487" s="33"/>
      <c r="AD487" s="50"/>
    </row>
    <row r="488" spans="1:30" s="51" customFormat="1" x14ac:dyDescent="0.3">
      <c r="A488" s="54" t="s">
        <v>18</v>
      </c>
      <c r="B488" s="54" t="s">
        <v>24</v>
      </c>
      <c r="C488" s="54" t="s">
        <v>22</v>
      </c>
      <c r="D488" s="54" t="s">
        <v>18</v>
      </c>
      <c r="E488" s="54" t="s">
        <v>21</v>
      </c>
      <c r="F488" s="54" t="s">
        <v>18</v>
      </c>
      <c r="G488" s="54" t="s">
        <v>22</v>
      </c>
      <c r="H488" s="54" t="s">
        <v>19</v>
      </c>
      <c r="I488" s="54" t="s">
        <v>24</v>
      </c>
      <c r="J488" s="54" t="s">
        <v>18</v>
      </c>
      <c r="K488" s="54" t="s">
        <v>18</v>
      </c>
      <c r="L488" s="54" t="s">
        <v>18</v>
      </c>
      <c r="M488" s="54" t="s">
        <v>18</v>
      </c>
      <c r="N488" s="54" t="s">
        <v>18</v>
      </c>
      <c r="O488" s="54" t="s">
        <v>18</v>
      </c>
      <c r="P488" s="54" t="s">
        <v>18</v>
      </c>
      <c r="Q488" s="54" t="s">
        <v>18</v>
      </c>
      <c r="R488" s="164" t="s">
        <v>329</v>
      </c>
      <c r="S488" s="55" t="s">
        <v>0</v>
      </c>
      <c r="T488" s="1">
        <v>0</v>
      </c>
      <c r="U488" s="1">
        <f>2801.1-100-2701.1</f>
        <v>0</v>
      </c>
      <c r="V488" s="1">
        <f>2801.1-2801.1</f>
        <v>0</v>
      </c>
      <c r="W488" s="1">
        <f>SUM(W489:W490)</f>
        <v>16089.1</v>
      </c>
      <c r="X488" s="1">
        <f t="shared" ref="X488:Z488" si="118">SUM(X489:X490)</f>
        <v>5000</v>
      </c>
      <c r="Y488" s="1">
        <f t="shared" si="118"/>
        <v>5000</v>
      </c>
      <c r="Z488" s="1">
        <f t="shared" si="118"/>
        <v>0</v>
      </c>
      <c r="AA488" s="59">
        <f t="shared" ref="AA488:AA495" si="119">SUM(T488:Z488)</f>
        <v>26089.1</v>
      </c>
      <c r="AB488" s="58">
        <v>2023</v>
      </c>
      <c r="AC488" s="33"/>
      <c r="AD488" s="50"/>
    </row>
    <row r="489" spans="1:30" s="51" customFormat="1" x14ac:dyDescent="0.3">
      <c r="A489" s="54" t="s">
        <v>18</v>
      </c>
      <c r="B489" s="54" t="s">
        <v>24</v>
      </c>
      <c r="C489" s="54" t="s">
        <v>22</v>
      </c>
      <c r="D489" s="54" t="s">
        <v>18</v>
      </c>
      <c r="E489" s="54" t="s">
        <v>21</v>
      </c>
      <c r="F489" s="54" t="s">
        <v>18</v>
      </c>
      <c r="G489" s="54" t="s">
        <v>22</v>
      </c>
      <c r="H489" s="54" t="s">
        <v>19</v>
      </c>
      <c r="I489" s="54" t="s">
        <v>24</v>
      </c>
      <c r="J489" s="54" t="s">
        <v>18</v>
      </c>
      <c r="K489" s="54" t="s">
        <v>265</v>
      </c>
      <c r="L489" s="54" t="s">
        <v>20</v>
      </c>
      <c r="M489" s="54" t="s">
        <v>21</v>
      </c>
      <c r="N489" s="54" t="s">
        <v>21</v>
      </c>
      <c r="O489" s="54" t="s">
        <v>21</v>
      </c>
      <c r="P489" s="54" t="s">
        <v>21</v>
      </c>
      <c r="Q489" s="54" t="s">
        <v>20</v>
      </c>
      <c r="R489" s="165"/>
      <c r="S489" s="55" t="s">
        <v>0</v>
      </c>
      <c r="T489" s="1">
        <v>0</v>
      </c>
      <c r="U489" s="1">
        <f t="shared" ref="U489:U490" si="120">2801.1-100-2701.1</f>
        <v>0</v>
      </c>
      <c r="V489" s="1">
        <f t="shared" ref="V489:V490" si="121">2801.1-2801.1</f>
        <v>0</v>
      </c>
      <c r="W489" s="1">
        <v>15752</v>
      </c>
      <c r="X489" s="1">
        <v>5000</v>
      </c>
      <c r="Y489" s="1">
        <v>5000</v>
      </c>
      <c r="Z489" s="1">
        <v>0</v>
      </c>
      <c r="AA489" s="59">
        <f t="shared" si="119"/>
        <v>25752</v>
      </c>
      <c r="AB489" s="58">
        <v>2023</v>
      </c>
      <c r="AC489" s="33"/>
      <c r="AD489" s="50"/>
    </row>
    <row r="490" spans="1:30" s="51" customFormat="1" x14ac:dyDescent="0.3">
      <c r="A490" s="54" t="s">
        <v>18</v>
      </c>
      <c r="B490" s="54" t="s">
        <v>24</v>
      </c>
      <c r="C490" s="54" t="s">
        <v>22</v>
      </c>
      <c r="D490" s="54" t="s">
        <v>18</v>
      </c>
      <c r="E490" s="54" t="s">
        <v>21</v>
      </c>
      <c r="F490" s="54" t="s">
        <v>18</v>
      </c>
      <c r="G490" s="54" t="s">
        <v>22</v>
      </c>
      <c r="H490" s="54" t="s">
        <v>19</v>
      </c>
      <c r="I490" s="54" t="s">
        <v>24</v>
      </c>
      <c r="J490" s="54" t="s">
        <v>18</v>
      </c>
      <c r="K490" s="54" t="s">
        <v>18</v>
      </c>
      <c r="L490" s="54" t="s">
        <v>20</v>
      </c>
      <c r="M490" s="54" t="s">
        <v>43</v>
      </c>
      <c r="N490" s="54" t="s">
        <v>43</v>
      </c>
      <c r="O490" s="54" t="s">
        <v>43</v>
      </c>
      <c r="P490" s="54" t="s">
        <v>43</v>
      </c>
      <c r="Q490" s="54" t="s">
        <v>43</v>
      </c>
      <c r="R490" s="166"/>
      <c r="S490" s="55" t="s">
        <v>0</v>
      </c>
      <c r="T490" s="1">
        <v>0</v>
      </c>
      <c r="U490" s="1">
        <f t="shared" si="120"/>
        <v>0</v>
      </c>
      <c r="V490" s="1">
        <f t="shared" si="121"/>
        <v>0</v>
      </c>
      <c r="W490" s="1">
        <v>337.1</v>
      </c>
      <c r="X490" s="1">
        <v>0</v>
      </c>
      <c r="Y490" s="1">
        <v>0</v>
      </c>
      <c r="Z490" s="1">
        <v>0</v>
      </c>
      <c r="AA490" s="59">
        <f t="shared" si="119"/>
        <v>337.1</v>
      </c>
      <c r="AB490" s="58">
        <v>2023</v>
      </c>
      <c r="AC490" s="33"/>
      <c r="AD490" s="50"/>
    </row>
    <row r="491" spans="1:30" s="51" customFormat="1" ht="46.8" x14ac:dyDescent="0.3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40" t="s">
        <v>337</v>
      </c>
      <c r="S491" s="52" t="s">
        <v>38</v>
      </c>
      <c r="T491" s="44">
        <v>0</v>
      </c>
      <c r="U491" s="44">
        <v>0</v>
      </c>
      <c r="V491" s="44">
        <v>0</v>
      </c>
      <c r="W491" s="44">
        <v>2</v>
      </c>
      <c r="X491" s="44">
        <v>5</v>
      </c>
      <c r="Y491" s="44">
        <v>5</v>
      </c>
      <c r="Z491" s="44">
        <v>0</v>
      </c>
      <c r="AA491" s="49">
        <f t="shared" si="119"/>
        <v>12</v>
      </c>
      <c r="AB491" s="142">
        <v>2023</v>
      </c>
      <c r="AC491" s="33"/>
      <c r="AD491" s="50"/>
    </row>
    <row r="492" spans="1:30" s="51" customFormat="1" ht="46.8" x14ac:dyDescent="0.3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40" t="s">
        <v>338</v>
      </c>
      <c r="S492" s="52" t="s">
        <v>52</v>
      </c>
      <c r="T492" s="3">
        <v>0</v>
      </c>
      <c r="U492" s="3">
        <v>0</v>
      </c>
      <c r="V492" s="3">
        <v>0</v>
      </c>
      <c r="W492" s="3">
        <v>4</v>
      </c>
      <c r="X492" s="3">
        <v>5</v>
      </c>
      <c r="Y492" s="3">
        <v>5</v>
      </c>
      <c r="Z492" s="3">
        <v>0</v>
      </c>
      <c r="AA492" s="53">
        <f t="shared" si="119"/>
        <v>14</v>
      </c>
      <c r="AB492" s="142">
        <v>2023</v>
      </c>
      <c r="AC492" s="33"/>
      <c r="AD492" s="50"/>
    </row>
    <row r="493" spans="1:30" s="51" customFormat="1" ht="31.2" x14ac:dyDescent="0.3">
      <c r="A493" s="54" t="s">
        <v>18</v>
      </c>
      <c r="B493" s="54" t="s">
        <v>18</v>
      </c>
      <c r="C493" s="54" t="s">
        <v>43</v>
      </c>
      <c r="D493" s="54" t="s">
        <v>18</v>
      </c>
      <c r="E493" s="54" t="s">
        <v>21</v>
      </c>
      <c r="F493" s="54" t="s">
        <v>18</v>
      </c>
      <c r="G493" s="54" t="s">
        <v>22</v>
      </c>
      <c r="H493" s="54" t="s">
        <v>19</v>
      </c>
      <c r="I493" s="54" t="s">
        <v>24</v>
      </c>
      <c r="J493" s="54" t="s">
        <v>18</v>
      </c>
      <c r="K493" s="54" t="s">
        <v>18</v>
      </c>
      <c r="L493" s="54" t="s">
        <v>20</v>
      </c>
      <c r="M493" s="54" t="s">
        <v>361</v>
      </c>
      <c r="N493" s="54" t="s">
        <v>362</v>
      </c>
      <c r="O493" s="54" t="s">
        <v>18</v>
      </c>
      <c r="P493" s="54" t="s">
        <v>18</v>
      </c>
      <c r="Q493" s="54" t="s">
        <v>18</v>
      </c>
      <c r="R493" s="77" t="s">
        <v>341</v>
      </c>
      <c r="S493" s="55" t="s">
        <v>0</v>
      </c>
      <c r="T493" s="59">
        <f>10000-9745-255</f>
        <v>0</v>
      </c>
      <c r="U493" s="59">
        <f>226.8-200-26.8</f>
        <v>0</v>
      </c>
      <c r="V493" s="59">
        <f>8228.3-8228.3</f>
        <v>0</v>
      </c>
      <c r="W493" s="59">
        <v>5000</v>
      </c>
      <c r="X493" s="59">
        <v>5000</v>
      </c>
      <c r="Y493" s="59">
        <v>5000</v>
      </c>
      <c r="Z493" s="59">
        <v>0</v>
      </c>
      <c r="AA493" s="59">
        <f t="shared" si="119"/>
        <v>15000</v>
      </c>
      <c r="AB493" s="58">
        <v>2023</v>
      </c>
      <c r="AC493" s="33"/>
      <c r="AD493" s="50"/>
    </row>
    <row r="494" spans="1:30" s="51" customFormat="1" ht="31.2" x14ac:dyDescent="0.3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78" t="s">
        <v>339</v>
      </c>
      <c r="S494" s="62" t="s">
        <v>52</v>
      </c>
      <c r="T494" s="3">
        <v>0</v>
      </c>
      <c r="U494" s="3">
        <v>0</v>
      </c>
      <c r="V494" s="3">
        <v>0</v>
      </c>
      <c r="W494" s="3">
        <v>5</v>
      </c>
      <c r="X494" s="3">
        <v>5</v>
      </c>
      <c r="Y494" s="3">
        <v>5</v>
      </c>
      <c r="Z494" s="3">
        <v>0</v>
      </c>
      <c r="AA494" s="6">
        <f t="shared" si="119"/>
        <v>15</v>
      </c>
      <c r="AB494" s="41">
        <v>2023</v>
      </c>
      <c r="AC494" s="33"/>
      <c r="AD494" s="50"/>
    </row>
    <row r="495" spans="1:30" s="51" customFormat="1" ht="31.2" x14ac:dyDescent="0.3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78" t="s">
        <v>340</v>
      </c>
      <c r="S495" s="62" t="s">
        <v>38</v>
      </c>
      <c r="T495" s="44">
        <v>0</v>
      </c>
      <c r="U495" s="44">
        <v>0</v>
      </c>
      <c r="V495" s="44">
        <v>0</v>
      </c>
      <c r="W495" s="44">
        <v>5</v>
      </c>
      <c r="X495" s="44">
        <v>5</v>
      </c>
      <c r="Y495" s="44">
        <v>5</v>
      </c>
      <c r="Z495" s="44">
        <v>0</v>
      </c>
      <c r="AA495" s="49">
        <f t="shared" si="119"/>
        <v>15</v>
      </c>
      <c r="AB495" s="41">
        <v>2023</v>
      </c>
      <c r="AC495" s="33"/>
      <c r="AD495" s="50"/>
    </row>
    <row r="496" spans="1:30" ht="64.8" customHeight="1" x14ac:dyDescent="0.3">
      <c r="A496" s="46"/>
      <c r="B496" s="46"/>
      <c r="C496" s="46"/>
      <c r="D496" s="46"/>
      <c r="E496" s="46"/>
      <c r="F496" s="46"/>
      <c r="G496" s="46"/>
      <c r="H496" s="46" t="s">
        <v>19</v>
      </c>
      <c r="I496" s="46" t="s">
        <v>24</v>
      </c>
      <c r="J496" s="46" t="s">
        <v>18</v>
      </c>
      <c r="K496" s="46" t="s">
        <v>18</v>
      </c>
      <c r="L496" s="46" t="s">
        <v>22</v>
      </c>
      <c r="M496" s="46" t="s">
        <v>18</v>
      </c>
      <c r="N496" s="46" t="s">
        <v>18</v>
      </c>
      <c r="O496" s="46" t="s">
        <v>18</v>
      </c>
      <c r="P496" s="46" t="s">
        <v>18</v>
      </c>
      <c r="Q496" s="46" t="s">
        <v>18</v>
      </c>
      <c r="R496" s="100" t="s">
        <v>55</v>
      </c>
      <c r="S496" s="149" t="s">
        <v>0</v>
      </c>
      <c r="T496" s="148">
        <f>T500++T515+T518+T539</f>
        <v>7230.2999999999993</v>
      </c>
      <c r="U496" s="148">
        <f>U500++U515+U518+U539+U551+U549+U553+U555</f>
        <v>12898</v>
      </c>
      <c r="V496" s="148">
        <f>V500++V515+V518+V539</f>
        <v>3228.7</v>
      </c>
      <c r="W496" s="148">
        <f>W500++W515+W518+W539</f>
        <v>4484</v>
      </c>
      <c r="X496" s="148">
        <f>X500++X515+X518+X539</f>
        <v>4484</v>
      </c>
      <c r="Y496" s="148">
        <f>Y500++Y515+Y518+Y539</f>
        <v>4484</v>
      </c>
      <c r="Z496" s="148">
        <f>Z500++Z515+Z518+Z539</f>
        <v>7667.1</v>
      </c>
      <c r="AA496" s="148">
        <f t="shared" si="109"/>
        <v>44476.1</v>
      </c>
      <c r="AB496" s="149">
        <v>2024</v>
      </c>
      <c r="AC496" s="120"/>
    </row>
    <row r="497" spans="1:31" ht="31.2" x14ac:dyDescent="0.3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48" t="s">
        <v>141</v>
      </c>
      <c r="S497" s="142" t="s">
        <v>31</v>
      </c>
      <c r="T497" s="4">
        <f t="shared" ref="T497:Y497" si="122">T501</f>
        <v>10473.4</v>
      </c>
      <c r="U497" s="4">
        <f t="shared" si="122"/>
        <v>4682.5</v>
      </c>
      <c r="V497" s="4">
        <f t="shared" si="122"/>
        <v>4156.2</v>
      </c>
      <c r="W497" s="4">
        <f t="shared" si="122"/>
        <v>7918.3</v>
      </c>
      <c r="X497" s="4">
        <f t="shared" si="122"/>
        <v>7918.3</v>
      </c>
      <c r="Y497" s="4">
        <f t="shared" si="122"/>
        <v>7918.3</v>
      </c>
      <c r="Z497" s="4">
        <f t="shared" ref="Z497" si="123">Z501</f>
        <v>7918.3</v>
      </c>
      <c r="AA497" s="5">
        <f t="shared" si="109"/>
        <v>50985.3</v>
      </c>
      <c r="AB497" s="142">
        <v>2024</v>
      </c>
      <c r="AC497" s="33"/>
    </row>
    <row r="498" spans="1:31" ht="31.2" x14ac:dyDescent="0.3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48" t="s">
        <v>142</v>
      </c>
      <c r="S498" s="142" t="s">
        <v>50</v>
      </c>
      <c r="T498" s="44">
        <f t="shared" ref="T498:Y498" si="124">T519</f>
        <v>450</v>
      </c>
      <c r="U498" s="44">
        <f t="shared" si="124"/>
        <v>450</v>
      </c>
      <c r="V498" s="44">
        <f t="shared" si="124"/>
        <v>0</v>
      </c>
      <c r="W498" s="44">
        <f t="shared" si="124"/>
        <v>0</v>
      </c>
      <c r="X498" s="44">
        <f t="shared" si="124"/>
        <v>0</v>
      </c>
      <c r="Y498" s="44">
        <f t="shared" si="124"/>
        <v>0</v>
      </c>
      <c r="Z498" s="44">
        <f t="shared" ref="Z498" si="125">Z519</f>
        <v>433</v>
      </c>
      <c r="AA498" s="45">
        <f t="shared" ref="AA498:AA499" si="126">SUM(T498:Z498)</f>
        <v>1333</v>
      </c>
      <c r="AB498" s="142">
        <v>2024</v>
      </c>
      <c r="AC498" s="33"/>
    </row>
    <row r="499" spans="1:31" ht="46.2" customHeight="1" x14ac:dyDescent="0.3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48" t="s">
        <v>143</v>
      </c>
      <c r="S499" s="41" t="s">
        <v>38</v>
      </c>
      <c r="T499" s="44">
        <f t="shared" ref="T499:V499" si="127">T540</f>
        <v>27</v>
      </c>
      <c r="U499" s="44">
        <f t="shared" si="127"/>
        <v>4</v>
      </c>
      <c r="V499" s="44">
        <f t="shared" si="127"/>
        <v>16</v>
      </c>
      <c r="W499" s="44">
        <f>W502</f>
        <v>17</v>
      </c>
      <c r="X499" s="44">
        <f t="shared" ref="X499:Z499" si="128">X502</f>
        <v>17</v>
      </c>
      <c r="Y499" s="44">
        <f t="shared" si="128"/>
        <v>17</v>
      </c>
      <c r="Z499" s="44">
        <f t="shared" si="128"/>
        <v>17</v>
      </c>
      <c r="AA499" s="45">
        <f t="shared" si="126"/>
        <v>115</v>
      </c>
      <c r="AB499" s="41">
        <v>2024</v>
      </c>
      <c r="AC499" s="33"/>
    </row>
    <row r="500" spans="1:31" ht="31.2" x14ac:dyDescent="0.3">
      <c r="A500" s="54"/>
      <c r="B500" s="54"/>
      <c r="C500" s="54"/>
      <c r="D500" s="54" t="s">
        <v>18</v>
      </c>
      <c r="E500" s="54" t="s">
        <v>21</v>
      </c>
      <c r="F500" s="54" t="s">
        <v>18</v>
      </c>
      <c r="G500" s="54" t="s">
        <v>22</v>
      </c>
      <c r="H500" s="54" t="s">
        <v>19</v>
      </c>
      <c r="I500" s="54" t="s">
        <v>24</v>
      </c>
      <c r="J500" s="54" t="s">
        <v>18</v>
      </c>
      <c r="K500" s="54" t="s">
        <v>18</v>
      </c>
      <c r="L500" s="54" t="s">
        <v>22</v>
      </c>
      <c r="M500" s="54" t="s">
        <v>43</v>
      </c>
      <c r="N500" s="54" t="s">
        <v>43</v>
      </c>
      <c r="O500" s="54" t="s">
        <v>43</v>
      </c>
      <c r="P500" s="54" t="s">
        <v>43</v>
      </c>
      <c r="Q500" s="54" t="s">
        <v>43</v>
      </c>
      <c r="R500" s="77" t="s">
        <v>144</v>
      </c>
      <c r="S500" s="58" t="s">
        <v>0</v>
      </c>
      <c r="T500" s="59">
        <f>T503+T509+T506+T512</f>
        <v>5760.9</v>
      </c>
      <c r="U500" s="59">
        <f t="shared" ref="U500:Y500" si="129">U503+U509+U506+U512</f>
        <v>5337.7</v>
      </c>
      <c r="V500" s="59">
        <f>V503+V509+V506+V512</f>
        <v>3171</v>
      </c>
      <c r="W500" s="59">
        <f t="shared" si="129"/>
        <v>4484</v>
      </c>
      <c r="X500" s="59">
        <f t="shared" si="129"/>
        <v>4484</v>
      </c>
      <c r="Y500" s="59">
        <f t="shared" si="129"/>
        <v>4484</v>
      </c>
      <c r="Z500" s="59">
        <f t="shared" ref="Z500" si="130">Z503+Z509+Z506+Z512</f>
        <v>4484</v>
      </c>
      <c r="AA500" s="59">
        <f t="shared" ref="AA500:AA516" si="131">SUM(T500:Z500)</f>
        <v>32205.599999999999</v>
      </c>
      <c r="AB500" s="58">
        <v>2024</v>
      </c>
      <c r="AC500" s="120"/>
    </row>
    <row r="501" spans="1:31" ht="31.2" x14ac:dyDescent="0.3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5" t="s">
        <v>141</v>
      </c>
      <c r="S501" s="142" t="s">
        <v>31</v>
      </c>
      <c r="T501" s="3">
        <f>T504+T507+T510+T513</f>
        <v>10473.4</v>
      </c>
      <c r="U501" s="3">
        <f t="shared" ref="U501:Y501" si="132">U504+U507+U510+U513</f>
        <v>4682.5</v>
      </c>
      <c r="V501" s="3">
        <f t="shared" si="132"/>
        <v>4156.2</v>
      </c>
      <c r="W501" s="3">
        <f t="shared" si="132"/>
        <v>7918.3</v>
      </c>
      <c r="X501" s="3">
        <f>X504+X507+X510+X513</f>
        <v>7918.3</v>
      </c>
      <c r="Y501" s="3">
        <f t="shared" si="132"/>
        <v>7918.3</v>
      </c>
      <c r="Z501" s="3">
        <f t="shared" ref="Z501:Z502" si="133">Z504+Z507+Z510+Z513</f>
        <v>7918.3</v>
      </c>
      <c r="AA501" s="5">
        <f t="shared" si="131"/>
        <v>50985.3</v>
      </c>
      <c r="AB501" s="41">
        <v>2024</v>
      </c>
      <c r="AC501" s="123"/>
      <c r="AD501" s="102"/>
    </row>
    <row r="502" spans="1:31" ht="46.8" x14ac:dyDescent="0.3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5" t="s">
        <v>344</v>
      </c>
      <c r="S502" s="142" t="s">
        <v>38</v>
      </c>
      <c r="T502" s="44">
        <f>T505+T508+T511+T514</f>
        <v>0</v>
      </c>
      <c r="U502" s="44">
        <f t="shared" ref="U502:Y502" si="134">U505+U508+U511+U514</f>
        <v>0</v>
      </c>
      <c r="V502" s="44">
        <f t="shared" si="134"/>
        <v>0</v>
      </c>
      <c r="W502" s="44">
        <f t="shared" si="134"/>
        <v>17</v>
      </c>
      <c r="X502" s="44">
        <f t="shared" si="134"/>
        <v>17</v>
      </c>
      <c r="Y502" s="44">
        <f t="shared" si="134"/>
        <v>17</v>
      </c>
      <c r="Z502" s="44">
        <f t="shared" si="133"/>
        <v>17</v>
      </c>
      <c r="AA502" s="45">
        <f t="shared" si="131"/>
        <v>68</v>
      </c>
      <c r="AB502" s="41">
        <v>2024</v>
      </c>
      <c r="AC502" s="123"/>
      <c r="AD502" s="102"/>
    </row>
    <row r="503" spans="1:31" ht="31.2" x14ac:dyDescent="0.3">
      <c r="A503" s="54" t="s">
        <v>18</v>
      </c>
      <c r="B503" s="54" t="s">
        <v>18</v>
      </c>
      <c r="C503" s="54" t="s">
        <v>22</v>
      </c>
      <c r="D503" s="54" t="s">
        <v>18</v>
      </c>
      <c r="E503" s="54" t="s">
        <v>21</v>
      </c>
      <c r="F503" s="54" t="s">
        <v>18</v>
      </c>
      <c r="G503" s="54" t="s">
        <v>22</v>
      </c>
      <c r="H503" s="54" t="s">
        <v>19</v>
      </c>
      <c r="I503" s="54" t="s">
        <v>24</v>
      </c>
      <c r="J503" s="54" t="s">
        <v>18</v>
      </c>
      <c r="K503" s="54" t="s">
        <v>18</v>
      </c>
      <c r="L503" s="54" t="s">
        <v>22</v>
      </c>
      <c r="M503" s="54" t="s">
        <v>43</v>
      </c>
      <c r="N503" s="54" t="s">
        <v>43</v>
      </c>
      <c r="O503" s="54" t="s">
        <v>43</v>
      </c>
      <c r="P503" s="54" t="s">
        <v>43</v>
      </c>
      <c r="Q503" s="54" t="s">
        <v>43</v>
      </c>
      <c r="R503" s="77" t="s">
        <v>145</v>
      </c>
      <c r="S503" s="55" t="s">
        <v>0</v>
      </c>
      <c r="T503" s="1">
        <f>3617.1-376.2-40-150</f>
        <v>3050.9</v>
      </c>
      <c r="U503" s="1">
        <f>2917.1-100</f>
        <v>2817.1</v>
      </c>
      <c r="V503" s="1">
        <v>1090.5999999999999</v>
      </c>
      <c r="W503" s="1">
        <v>2417.1</v>
      </c>
      <c r="X503" s="1">
        <v>2417.1</v>
      </c>
      <c r="Y503" s="1">
        <v>2417.1</v>
      </c>
      <c r="Z503" s="1">
        <v>2417.1</v>
      </c>
      <c r="AA503" s="59">
        <f t="shared" si="131"/>
        <v>16627</v>
      </c>
      <c r="AB503" s="58">
        <v>2024</v>
      </c>
      <c r="AC503" s="119"/>
      <c r="AD503" s="102"/>
      <c r="AE503" s="102"/>
    </row>
    <row r="504" spans="1:31" ht="31.2" x14ac:dyDescent="0.3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61" t="s">
        <v>345</v>
      </c>
      <c r="S504" s="142" t="s">
        <v>31</v>
      </c>
      <c r="T504" s="3">
        <v>4849</v>
      </c>
      <c r="U504" s="3">
        <f>4307-1114</f>
        <v>3193</v>
      </c>
      <c r="V504" s="3">
        <v>1569</v>
      </c>
      <c r="W504" s="3">
        <v>4528.6000000000004</v>
      </c>
      <c r="X504" s="3">
        <v>4528.6000000000004</v>
      </c>
      <c r="Y504" s="3">
        <v>4528.6000000000004</v>
      </c>
      <c r="Z504" s="3">
        <v>4528.6000000000004</v>
      </c>
      <c r="AA504" s="5">
        <f t="shared" si="131"/>
        <v>27725.4</v>
      </c>
      <c r="AB504" s="41">
        <v>2024</v>
      </c>
      <c r="AC504" s="123"/>
      <c r="AD504" s="102"/>
    </row>
    <row r="505" spans="1:31" ht="46.8" x14ac:dyDescent="0.3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61" t="s">
        <v>346</v>
      </c>
      <c r="S505" s="142" t="s">
        <v>38</v>
      </c>
      <c r="T505" s="44">
        <v>0</v>
      </c>
      <c r="U505" s="44">
        <v>0</v>
      </c>
      <c r="V505" s="44">
        <v>0</v>
      </c>
      <c r="W505" s="44">
        <v>4</v>
      </c>
      <c r="X505" s="44">
        <v>4</v>
      </c>
      <c r="Y505" s="44">
        <v>4</v>
      </c>
      <c r="Z505" s="44">
        <v>4</v>
      </c>
      <c r="AA505" s="45">
        <f t="shared" si="131"/>
        <v>16</v>
      </c>
      <c r="AB505" s="41">
        <v>2024</v>
      </c>
      <c r="AC505" s="123"/>
      <c r="AD505" s="102"/>
    </row>
    <row r="506" spans="1:31" ht="31.2" x14ac:dyDescent="0.3">
      <c r="A506" s="54" t="s">
        <v>18</v>
      </c>
      <c r="B506" s="54" t="s">
        <v>18</v>
      </c>
      <c r="C506" s="54" t="s">
        <v>24</v>
      </c>
      <c r="D506" s="54" t="s">
        <v>18</v>
      </c>
      <c r="E506" s="54" t="s">
        <v>21</v>
      </c>
      <c r="F506" s="54" t="s">
        <v>18</v>
      </c>
      <c r="G506" s="54" t="s">
        <v>22</v>
      </c>
      <c r="H506" s="54" t="s">
        <v>19</v>
      </c>
      <c r="I506" s="54" t="s">
        <v>24</v>
      </c>
      <c r="J506" s="54" t="s">
        <v>18</v>
      </c>
      <c r="K506" s="54" t="s">
        <v>18</v>
      </c>
      <c r="L506" s="54" t="s">
        <v>22</v>
      </c>
      <c r="M506" s="54" t="s">
        <v>43</v>
      </c>
      <c r="N506" s="54" t="s">
        <v>43</v>
      </c>
      <c r="O506" s="54" t="s">
        <v>43</v>
      </c>
      <c r="P506" s="54" t="s">
        <v>43</v>
      </c>
      <c r="Q506" s="54" t="s">
        <v>43</v>
      </c>
      <c r="R506" s="77" t="s">
        <v>146</v>
      </c>
      <c r="S506" s="55" t="s">
        <v>0</v>
      </c>
      <c r="T506" s="1">
        <f>398.5-63.6-24.8</f>
        <v>310.09999999999997</v>
      </c>
      <c r="U506" s="1">
        <f>398.5-18.9</f>
        <v>379.6</v>
      </c>
      <c r="V506" s="1">
        <f>398.5-27.6</f>
        <v>370.9</v>
      </c>
      <c r="W506" s="1">
        <v>399.6</v>
      </c>
      <c r="X506" s="1">
        <v>399.6</v>
      </c>
      <c r="Y506" s="1">
        <v>399.6</v>
      </c>
      <c r="Z506" s="1">
        <v>399.6</v>
      </c>
      <c r="AA506" s="59">
        <f t="shared" si="131"/>
        <v>2658.9999999999995</v>
      </c>
      <c r="AB506" s="58">
        <v>2024</v>
      </c>
      <c r="AC506" s="119"/>
      <c r="AD506" s="102"/>
    </row>
    <row r="507" spans="1:31" ht="31.2" x14ac:dyDescent="0.3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61" t="s">
        <v>347</v>
      </c>
      <c r="S507" s="142" t="s">
        <v>31</v>
      </c>
      <c r="T507" s="4">
        <v>421.4</v>
      </c>
      <c r="U507" s="4">
        <v>195</v>
      </c>
      <c r="V507" s="4">
        <v>554</v>
      </c>
      <c r="W507" s="3">
        <v>587</v>
      </c>
      <c r="X507" s="3">
        <v>587</v>
      </c>
      <c r="Y507" s="3">
        <v>587</v>
      </c>
      <c r="Z507" s="3">
        <v>587</v>
      </c>
      <c r="AA507" s="6">
        <f t="shared" si="131"/>
        <v>3518.4</v>
      </c>
      <c r="AB507" s="41">
        <v>2024</v>
      </c>
      <c r="AC507" s="123"/>
      <c r="AD507" s="102"/>
    </row>
    <row r="508" spans="1:31" ht="46.8" x14ac:dyDescent="0.3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61" t="s">
        <v>348</v>
      </c>
      <c r="S508" s="142" t="s">
        <v>38</v>
      </c>
      <c r="T508" s="2">
        <v>0</v>
      </c>
      <c r="U508" s="2">
        <v>0</v>
      </c>
      <c r="V508" s="2">
        <v>0</v>
      </c>
      <c r="W508" s="44">
        <v>2</v>
      </c>
      <c r="X508" s="44">
        <v>2</v>
      </c>
      <c r="Y508" s="44">
        <v>2</v>
      </c>
      <c r="Z508" s="44">
        <v>2</v>
      </c>
      <c r="AA508" s="49">
        <f t="shared" ref="AA508" si="135">SUM(T508:Z508)</f>
        <v>8</v>
      </c>
      <c r="AB508" s="41">
        <v>2024</v>
      </c>
      <c r="AC508" s="123"/>
      <c r="AD508" s="102"/>
    </row>
    <row r="509" spans="1:31" ht="31.2" x14ac:dyDescent="0.3">
      <c r="A509" s="54" t="s">
        <v>18</v>
      </c>
      <c r="B509" s="54" t="s">
        <v>18</v>
      </c>
      <c r="C509" s="54" t="s">
        <v>21</v>
      </c>
      <c r="D509" s="54" t="s">
        <v>18</v>
      </c>
      <c r="E509" s="54" t="s">
        <v>21</v>
      </c>
      <c r="F509" s="54" t="s">
        <v>18</v>
      </c>
      <c r="G509" s="54" t="s">
        <v>22</v>
      </c>
      <c r="H509" s="54" t="s">
        <v>19</v>
      </c>
      <c r="I509" s="54" t="s">
        <v>24</v>
      </c>
      <c r="J509" s="54" t="s">
        <v>18</v>
      </c>
      <c r="K509" s="54" t="s">
        <v>18</v>
      </c>
      <c r="L509" s="54" t="s">
        <v>22</v>
      </c>
      <c r="M509" s="54" t="s">
        <v>43</v>
      </c>
      <c r="N509" s="54" t="s">
        <v>43</v>
      </c>
      <c r="O509" s="54" t="s">
        <v>43</v>
      </c>
      <c r="P509" s="54" t="s">
        <v>43</v>
      </c>
      <c r="Q509" s="54" t="s">
        <v>43</v>
      </c>
      <c r="R509" s="69" t="s">
        <v>147</v>
      </c>
      <c r="S509" s="55" t="s">
        <v>0</v>
      </c>
      <c r="T509" s="1">
        <f>1961.8-500-47.8</f>
        <v>1414</v>
      </c>
      <c r="U509" s="1">
        <f>1163-0.4</f>
        <v>1162.5999999999999</v>
      </c>
      <c r="V509" s="1">
        <f>1165.6-57.2</f>
        <v>1108.3999999999999</v>
      </c>
      <c r="W509" s="1">
        <v>1166.9000000000001</v>
      </c>
      <c r="X509" s="1">
        <v>1166.9000000000001</v>
      </c>
      <c r="Y509" s="1">
        <v>1166.9000000000001</v>
      </c>
      <c r="Z509" s="1">
        <v>1166.9000000000001</v>
      </c>
      <c r="AA509" s="59">
        <f t="shared" si="131"/>
        <v>8352.5999999999985</v>
      </c>
      <c r="AB509" s="58">
        <v>2024</v>
      </c>
      <c r="AC509" s="119"/>
      <c r="AD509" s="102"/>
    </row>
    <row r="510" spans="1:31" ht="31.2" x14ac:dyDescent="0.3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61" t="s">
        <v>357</v>
      </c>
      <c r="S510" s="142" t="s">
        <v>31</v>
      </c>
      <c r="T510" s="4">
        <v>3300</v>
      </c>
      <c r="U510" s="4">
        <v>1194.5</v>
      </c>
      <c r="V510" s="4">
        <v>1600</v>
      </c>
      <c r="W510" s="3">
        <v>2235</v>
      </c>
      <c r="X510" s="3">
        <v>2235</v>
      </c>
      <c r="Y510" s="3">
        <v>2235</v>
      </c>
      <c r="Z510" s="3">
        <v>2235</v>
      </c>
      <c r="AA510" s="5">
        <f t="shared" si="131"/>
        <v>15034.5</v>
      </c>
      <c r="AB510" s="41">
        <v>2024</v>
      </c>
      <c r="AC510" s="123"/>
      <c r="AD510" s="102"/>
    </row>
    <row r="511" spans="1:31" ht="46.8" x14ac:dyDescent="0.3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61" t="s">
        <v>358</v>
      </c>
      <c r="S511" s="142" t="s">
        <v>38</v>
      </c>
      <c r="T511" s="2">
        <v>0</v>
      </c>
      <c r="U511" s="2">
        <v>0</v>
      </c>
      <c r="V511" s="2">
        <v>0</v>
      </c>
      <c r="W511" s="44">
        <v>3</v>
      </c>
      <c r="X511" s="44">
        <v>3</v>
      </c>
      <c r="Y511" s="44">
        <v>3</v>
      </c>
      <c r="Z511" s="44">
        <v>3</v>
      </c>
      <c r="AA511" s="45">
        <f t="shared" ref="AA511" si="136">SUM(T511:Z511)</f>
        <v>12</v>
      </c>
      <c r="AB511" s="41">
        <v>2024</v>
      </c>
      <c r="AC511" s="145"/>
      <c r="AD511" s="102"/>
    </row>
    <row r="512" spans="1:31" ht="31.2" x14ac:dyDescent="0.3">
      <c r="A512" s="54" t="s">
        <v>18</v>
      </c>
      <c r="B512" s="54" t="s">
        <v>18</v>
      </c>
      <c r="C512" s="54" t="s">
        <v>25</v>
      </c>
      <c r="D512" s="54" t="s">
        <v>18</v>
      </c>
      <c r="E512" s="54" t="s">
        <v>21</v>
      </c>
      <c r="F512" s="54" t="s">
        <v>18</v>
      </c>
      <c r="G512" s="54" t="s">
        <v>22</v>
      </c>
      <c r="H512" s="54" t="s">
        <v>19</v>
      </c>
      <c r="I512" s="54" t="s">
        <v>24</v>
      </c>
      <c r="J512" s="54" t="s">
        <v>18</v>
      </c>
      <c r="K512" s="54" t="s">
        <v>18</v>
      </c>
      <c r="L512" s="54" t="s">
        <v>22</v>
      </c>
      <c r="M512" s="54" t="s">
        <v>43</v>
      </c>
      <c r="N512" s="54" t="s">
        <v>43</v>
      </c>
      <c r="O512" s="54" t="s">
        <v>43</v>
      </c>
      <c r="P512" s="54" t="s">
        <v>43</v>
      </c>
      <c r="Q512" s="54" t="s">
        <v>43</v>
      </c>
      <c r="R512" s="69" t="s">
        <v>148</v>
      </c>
      <c r="S512" s="55" t="s">
        <v>0</v>
      </c>
      <c r="T512" s="1">
        <f>1502-455.3-60.8</f>
        <v>985.90000000000009</v>
      </c>
      <c r="U512" s="1">
        <f>1000-21.6</f>
        <v>978.4</v>
      </c>
      <c r="V512" s="1">
        <f>700-98.9</f>
        <v>601.1</v>
      </c>
      <c r="W512" s="1">
        <v>500.4</v>
      </c>
      <c r="X512" s="1">
        <v>500.4</v>
      </c>
      <c r="Y512" s="1">
        <v>500.4</v>
      </c>
      <c r="Z512" s="1">
        <v>500.4</v>
      </c>
      <c r="AA512" s="59">
        <f t="shared" si="131"/>
        <v>4567</v>
      </c>
      <c r="AB512" s="58">
        <v>2024</v>
      </c>
      <c r="AC512" s="120"/>
      <c r="AD512" s="12"/>
    </row>
    <row r="513" spans="1:34" ht="31.2" x14ac:dyDescent="0.3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40" t="s">
        <v>359</v>
      </c>
      <c r="S513" s="142" t="s">
        <v>31</v>
      </c>
      <c r="T513" s="3">
        <v>1903</v>
      </c>
      <c r="U513" s="3">
        <v>100</v>
      </c>
      <c r="V513" s="3">
        <v>433.2</v>
      </c>
      <c r="W513" s="3">
        <v>567.70000000000005</v>
      </c>
      <c r="X513" s="3">
        <v>567.70000000000005</v>
      </c>
      <c r="Y513" s="3">
        <v>567.70000000000005</v>
      </c>
      <c r="Z513" s="3">
        <v>567.70000000000005</v>
      </c>
      <c r="AA513" s="5">
        <f t="shared" si="131"/>
        <v>4706.9999999999991</v>
      </c>
      <c r="AB513" s="41">
        <v>2024</v>
      </c>
      <c r="AC513" s="123"/>
      <c r="AD513" s="102"/>
    </row>
    <row r="514" spans="1:34" ht="46.8" x14ac:dyDescent="0.3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61" t="s">
        <v>360</v>
      </c>
      <c r="S514" s="142" t="s">
        <v>38</v>
      </c>
      <c r="T514" s="44">
        <v>0</v>
      </c>
      <c r="U514" s="44">
        <v>0</v>
      </c>
      <c r="V514" s="44">
        <v>0</v>
      </c>
      <c r="W514" s="44">
        <v>8</v>
      </c>
      <c r="X514" s="44">
        <v>8</v>
      </c>
      <c r="Y514" s="44">
        <v>8</v>
      </c>
      <c r="Z514" s="44">
        <v>8</v>
      </c>
      <c r="AA514" s="45">
        <f t="shared" ref="AA514" si="137">SUM(T514:Z514)</f>
        <v>32</v>
      </c>
      <c r="AB514" s="41">
        <v>2024</v>
      </c>
      <c r="AC514" s="145"/>
      <c r="AD514" s="102"/>
    </row>
    <row r="515" spans="1:34" ht="48.6" customHeight="1" x14ac:dyDescent="0.3">
      <c r="A515" s="54" t="s">
        <v>18</v>
      </c>
      <c r="B515" s="54" t="s">
        <v>24</v>
      </c>
      <c r="C515" s="54" t="s">
        <v>22</v>
      </c>
      <c r="D515" s="54" t="s">
        <v>18</v>
      </c>
      <c r="E515" s="54" t="s">
        <v>21</v>
      </c>
      <c r="F515" s="54" t="s">
        <v>18</v>
      </c>
      <c r="G515" s="54" t="s">
        <v>22</v>
      </c>
      <c r="H515" s="54" t="s">
        <v>19</v>
      </c>
      <c r="I515" s="54" t="s">
        <v>24</v>
      </c>
      <c r="J515" s="54" t="s">
        <v>18</v>
      </c>
      <c r="K515" s="54" t="s">
        <v>18</v>
      </c>
      <c r="L515" s="54" t="s">
        <v>22</v>
      </c>
      <c r="M515" s="54" t="s">
        <v>43</v>
      </c>
      <c r="N515" s="54" t="s">
        <v>43</v>
      </c>
      <c r="O515" s="54" t="s">
        <v>43</v>
      </c>
      <c r="P515" s="54" t="s">
        <v>43</v>
      </c>
      <c r="Q515" s="54" t="s">
        <v>43</v>
      </c>
      <c r="R515" s="146" t="s">
        <v>363</v>
      </c>
      <c r="S515" s="55" t="s">
        <v>0</v>
      </c>
      <c r="T515" s="1">
        <v>0</v>
      </c>
      <c r="U515" s="1">
        <v>0</v>
      </c>
      <c r="V515" s="1">
        <v>0</v>
      </c>
      <c r="W515" s="1">
        <v>0</v>
      </c>
      <c r="X515" s="1">
        <v>0</v>
      </c>
      <c r="Y515" s="1">
        <v>0</v>
      </c>
      <c r="Z515" s="1">
        <v>1782</v>
      </c>
      <c r="AA515" s="59">
        <f t="shared" si="131"/>
        <v>1782</v>
      </c>
      <c r="AB515" s="58">
        <v>2024</v>
      </c>
      <c r="AC515" s="33"/>
    </row>
    <row r="516" spans="1:34" s="72" customFormat="1" ht="31.2" customHeight="1" x14ac:dyDescent="0.3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48" t="s">
        <v>364</v>
      </c>
      <c r="S516" s="41" t="s">
        <v>31</v>
      </c>
      <c r="T516" s="3">
        <v>0</v>
      </c>
      <c r="U516" s="3">
        <v>0</v>
      </c>
      <c r="V516" s="3">
        <v>0</v>
      </c>
      <c r="W516" s="3">
        <v>0</v>
      </c>
      <c r="X516" s="3">
        <v>0</v>
      </c>
      <c r="Y516" s="3">
        <v>0</v>
      </c>
      <c r="Z516" s="3">
        <v>5619</v>
      </c>
      <c r="AA516" s="6">
        <f t="shared" si="131"/>
        <v>5619</v>
      </c>
      <c r="AB516" s="41">
        <v>2024</v>
      </c>
      <c r="AC516" s="91"/>
      <c r="AD516" s="147"/>
      <c r="AE516" s="113"/>
      <c r="AF516" s="113"/>
      <c r="AG516" s="113"/>
      <c r="AH516" s="51"/>
    </row>
    <row r="517" spans="1:34" ht="0.75" hidden="1" customHeight="1" x14ac:dyDescent="0.3">
      <c r="A517" s="54"/>
      <c r="B517" s="54"/>
      <c r="C517" s="54"/>
      <c r="D517" s="54" t="s">
        <v>18</v>
      </c>
      <c r="E517" s="54" t="s">
        <v>21</v>
      </c>
      <c r="F517" s="54" t="s">
        <v>18</v>
      </c>
      <c r="G517" s="54" t="s">
        <v>22</v>
      </c>
      <c r="H517" s="54" t="s">
        <v>18</v>
      </c>
      <c r="I517" s="54" t="s">
        <v>23</v>
      </c>
      <c r="J517" s="54" t="s">
        <v>18</v>
      </c>
      <c r="K517" s="54" t="s">
        <v>18</v>
      </c>
      <c r="L517" s="54" t="s">
        <v>20</v>
      </c>
      <c r="M517" s="54" t="s">
        <v>19</v>
      </c>
      <c r="N517" s="54" t="s">
        <v>18</v>
      </c>
      <c r="O517" s="54" t="s">
        <v>21</v>
      </c>
      <c r="P517" s="54" t="s">
        <v>21</v>
      </c>
      <c r="Q517" s="54" t="s">
        <v>18</v>
      </c>
      <c r="R517" s="160" t="s">
        <v>149</v>
      </c>
      <c r="S517" s="55" t="s">
        <v>0</v>
      </c>
      <c r="T517" s="1">
        <f t="shared" ref="T517:Y518" si="138">T520+T523+T526+T529</f>
        <v>1308.2000000000003</v>
      </c>
      <c r="U517" s="1">
        <f t="shared" si="138"/>
        <v>1308.2000000000003</v>
      </c>
      <c r="V517" s="1">
        <f t="shared" si="138"/>
        <v>1308.2000000000003</v>
      </c>
      <c r="W517" s="1">
        <f t="shared" si="138"/>
        <v>1308.2000000000003</v>
      </c>
      <c r="X517" s="1">
        <f t="shared" si="138"/>
        <v>1308.2000000000003</v>
      </c>
      <c r="Y517" s="1">
        <f t="shared" si="138"/>
        <v>1308.2000000000003</v>
      </c>
      <c r="Z517" s="1"/>
      <c r="AA517" s="59">
        <f>T517+U517+V517+W517+X517+Y517</f>
        <v>7849.2000000000025</v>
      </c>
      <c r="AB517" s="73">
        <v>2016</v>
      </c>
      <c r="AC517" s="33"/>
      <c r="AD517" s="12"/>
      <c r="AE517" s="12"/>
    </row>
    <row r="518" spans="1:34" ht="31.2" customHeight="1" x14ac:dyDescent="0.3">
      <c r="A518" s="54"/>
      <c r="B518" s="54"/>
      <c r="C518" s="54"/>
      <c r="D518" s="54" t="s">
        <v>18</v>
      </c>
      <c r="E518" s="54" t="s">
        <v>24</v>
      </c>
      <c r="F518" s="54" t="s">
        <v>18</v>
      </c>
      <c r="G518" s="54" t="s">
        <v>21</v>
      </c>
      <c r="H518" s="54" t="s">
        <v>19</v>
      </c>
      <c r="I518" s="54" t="s">
        <v>24</v>
      </c>
      <c r="J518" s="54" t="s">
        <v>18</v>
      </c>
      <c r="K518" s="54" t="s">
        <v>18</v>
      </c>
      <c r="L518" s="54" t="s">
        <v>22</v>
      </c>
      <c r="M518" s="54" t="s">
        <v>19</v>
      </c>
      <c r="N518" s="54" t="s">
        <v>18</v>
      </c>
      <c r="O518" s="54" t="s">
        <v>21</v>
      </c>
      <c r="P518" s="54" t="s">
        <v>21</v>
      </c>
      <c r="Q518" s="54" t="s">
        <v>18</v>
      </c>
      <c r="R518" s="160"/>
      <c r="S518" s="58" t="s">
        <v>0</v>
      </c>
      <c r="T518" s="59">
        <f t="shared" si="138"/>
        <v>1399.4</v>
      </c>
      <c r="U518" s="59">
        <f>U521+U524+U527+U530+U534</f>
        <v>802.7</v>
      </c>
      <c r="V518" s="59">
        <f t="shared" si="138"/>
        <v>0</v>
      </c>
      <c r="W518" s="59">
        <f t="shared" si="138"/>
        <v>0</v>
      </c>
      <c r="X518" s="59">
        <f t="shared" si="138"/>
        <v>0</v>
      </c>
      <c r="Y518" s="59">
        <f t="shared" si="138"/>
        <v>0</v>
      </c>
      <c r="Z518" s="59">
        <f t="shared" ref="Z518" si="139">Z521+Z524+Z527+Z530</f>
        <v>1401.1000000000001</v>
      </c>
      <c r="AA518" s="59">
        <f>SUM(T518:Z518)</f>
        <v>3603.2000000000007</v>
      </c>
      <c r="AB518" s="58">
        <v>2024</v>
      </c>
      <c r="AC518" s="120"/>
      <c r="AD518" s="12"/>
      <c r="AE518" s="12"/>
    </row>
    <row r="519" spans="1:34" ht="31.2" x14ac:dyDescent="0.3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40" t="s">
        <v>150</v>
      </c>
      <c r="S519" s="142" t="s">
        <v>50</v>
      </c>
      <c r="T519" s="44">
        <f t="shared" ref="T519:Y519" si="140">T522+T525+T528+T533</f>
        <v>450</v>
      </c>
      <c r="U519" s="44">
        <f>U522+U525+U528+U533+U538</f>
        <v>450</v>
      </c>
      <c r="V519" s="44">
        <f t="shared" si="140"/>
        <v>0</v>
      </c>
      <c r="W519" s="44">
        <f t="shared" si="140"/>
        <v>0</v>
      </c>
      <c r="X519" s="44">
        <f t="shared" si="140"/>
        <v>0</v>
      </c>
      <c r="Y519" s="44">
        <f t="shared" si="140"/>
        <v>0</v>
      </c>
      <c r="Z519" s="44">
        <f t="shared" ref="Z519" si="141">Z522+Z525+Z528+Z533</f>
        <v>433</v>
      </c>
      <c r="AA519" s="49">
        <f>SUM(T519:Z519)</f>
        <v>1333</v>
      </c>
      <c r="AB519" s="41">
        <v>2024</v>
      </c>
      <c r="AC519" s="33"/>
      <c r="AD519" s="12"/>
      <c r="AE519" s="12"/>
    </row>
    <row r="520" spans="1:34" ht="36.75" hidden="1" customHeight="1" x14ac:dyDescent="0.3">
      <c r="A520" s="54" t="s">
        <v>18</v>
      </c>
      <c r="B520" s="54" t="s">
        <v>18</v>
      </c>
      <c r="C520" s="54" t="s">
        <v>22</v>
      </c>
      <c r="D520" s="54" t="s">
        <v>18</v>
      </c>
      <c r="E520" s="54" t="s">
        <v>21</v>
      </c>
      <c r="F520" s="54" t="s">
        <v>18</v>
      </c>
      <c r="G520" s="54" t="s">
        <v>22</v>
      </c>
      <c r="H520" s="54" t="s">
        <v>18</v>
      </c>
      <c r="I520" s="54" t="s">
        <v>23</v>
      </c>
      <c r="J520" s="54" t="s">
        <v>18</v>
      </c>
      <c r="K520" s="54" t="s">
        <v>18</v>
      </c>
      <c r="L520" s="54" t="s">
        <v>20</v>
      </c>
      <c r="M520" s="54" t="s">
        <v>19</v>
      </c>
      <c r="N520" s="54" t="s">
        <v>18</v>
      </c>
      <c r="O520" s="54" t="s">
        <v>21</v>
      </c>
      <c r="P520" s="54" t="s">
        <v>21</v>
      </c>
      <c r="Q520" s="54" t="s">
        <v>18</v>
      </c>
      <c r="R520" s="167" t="s">
        <v>151</v>
      </c>
      <c r="S520" s="55" t="s">
        <v>0</v>
      </c>
      <c r="T520" s="1">
        <f t="shared" ref="T520:Z520" si="142">472.4-26.9</f>
        <v>445.5</v>
      </c>
      <c r="U520" s="1">
        <f t="shared" si="142"/>
        <v>445.5</v>
      </c>
      <c r="V520" s="1">
        <f t="shared" si="142"/>
        <v>445.5</v>
      </c>
      <c r="W520" s="1">
        <f t="shared" si="142"/>
        <v>445.5</v>
      </c>
      <c r="X520" s="1">
        <f t="shared" si="142"/>
        <v>445.5</v>
      </c>
      <c r="Y520" s="1">
        <f t="shared" si="142"/>
        <v>445.5</v>
      </c>
      <c r="Z520" s="1">
        <f t="shared" si="142"/>
        <v>445.5</v>
      </c>
      <c r="AA520" s="59">
        <f t="shared" ref="AA520:AA529" si="143">T520+U520+V520+W520+X520+Y520</f>
        <v>2673</v>
      </c>
      <c r="AB520" s="41">
        <v>2023</v>
      </c>
      <c r="AC520" s="33"/>
      <c r="AD520" s="12"/>
      <c r="AE520" s="12"/>
    </row>
    <row r="521" spans="1:34" ht="31.2" customHeight="1" x14ac:dyDescent="0.3">
      <c r="A521" s="54" t="s">
        <v>18</v>
      </c>
      <c r="B521" s="54" t="s">
        <v>18</v>
      </c>
      <c r="C521" s="54" t="s">
        <v>22</v>
      </c>
      <c r="D521" s="54" t="s">
        <v>18</v>
      </c>
      <c r="E521" s="54" t="s">
        <v>24</v>
      </c>
      <c r="F521" s="54" t="s">
        <v>18</v>
      </c>
      <c r="G521" s="54" t="s">
        <v>21</v>
      </c>
      <c r="H521" s="54" t="s">
        <v>19</v>
      </c>
      <c r="I521" s="54" t="s">
        <v>24</v>
      </c>
      <c r="J521" s="54" t="s">
        <v>18</v>
      </c>
      <c r="K521" s="54" t="s">
        <v>18</v>
      </c>
      <c r="L521" s="54" t="s">
        <v>22</v>
      </c>
      <c r="M521" s="54" t="s">
        <v>19</v>
      </c>
      <c r="N521" s="54" t="s">
        <v>18</v>
      </c>
      <c r="O521" s="54" t="s">
        <v>21</v>
      </c>
      <c r="P521" s="54" t="s">
        <v>21</v>
      </c>
      <c r="Q521" s="54" t="s">
        <v>18</v>
      </c>
      <c r="R521" s="167"/>
      <c r="S521" s="55" t="s">
        <v>0</v>
      </c>
      <c r="T521" s="1">
        <f t="shared" ref="T521:Z521" si="144">445.5+45.8</f>
        <v>491.3</v>
      </c>
      <c r="U521" s="1">
        <f>445.5+45.8+47.5-415.7</f>
        <v>123.09999999999997</v>
      </c>
      <c r="V521" s="1">
        <f>445.5+45.8+53.6-544.9</f>
        <v>0</v>
      </c>
      <c r="W521" s="1">
        <f t="shared" ref="W521:X521" si="145">445.5+45.8+53.6-544.9</f>
        <v>0</v>
      </c>
      <c r="X521" s="1">
        <f t="shared" si="145"/>
        <v>0</v>
      </c>
      <c r="Y521" s="1">
        <v>0</v>
      </c>
      <c r="Z521" s="1">
        <f t="shared" si="144"/>
        <v>491.3</v>
      </c>
      <c r="AA521" s="59">
        <f>SUM(T521:Z521)</f>
        <v>1105.7</v>
      </c>
      <c r="AB521" s="58">
        <v>2024</v>
      </c>
      <c r="AC521" s="120"/>
    </row>
    <row r="522" spans="1:34" ht="31.2" customHeight="1" x14ac:dyDescent="0.3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61" t="s">
        <v>152</v>
      </c>
      <c r="S522" s="142" t="s">
        <v>50</v>
      </c>
      <c r="T522" s="2">
        <v>158</v>
      </c>
      <c r="U522" s="44">
        <v>37</v>
      </c>
      <c r="V522" s="2">
        <f>154-154</f>
        <v>0</v>
      </c>
      <c r="W522" s="2">
        <v>0</v>
      </c>
      <c r="X522" s="2">
        <v>0</v>
      </c>
      <c r="Y522" s="2">
        <v>0</v>
      </c>
      <c r="Z522" s="2">
        <v>148</v>
      </c>
      <c r="AA522" s="49">
        <f>SUM(T522:Z522)</f>
        <v>343</v>
      </c>
      <c r="AB522" s="41">
        <v>2024</v>
      </c>
      <c r="AC522" s="33"/>
    </row>
    <row r="523" spans="1:34" ht="36" hidden="1" customHeight="1" x14ac:dyDescent="0.3">
      <c r="A523" s="54" t="s">
        <v>18</v>
      </c>
      <c r="B523" s="54" t="s">
        <v>18</v>
      </c>
      <c r="C523" s="54" t="s">
        <v>24</v>
      </c>
      <c r="D523" s="54" t="s">
        <v>18</v>
      </c>
      <c r="E523" s="54" t="s">
        <v>21</v>
      </c>
      <c r="F523" s="54" t="s">
        <v>18</v>
      </c>
      <c r="G523" s="54" t="s">
        <v>22</v>
      </c>
      <c r="H523" s="54" t="s">
        <v>18</v>
      </c>
      <c r="I523" s="54" t="s">
        <v>23</v>
      </c>
      <c r="J523" s="54" t="s">
        <v>18</v>
      </c>
      <c r="K523" s="54" t="s">
        <v>18</v>
      </c>
      <c r="L523" s="54" t="s">
        <v>20</v>
      </c>
      <c r="M523" s="54" t="s">
        <v>19</v>
      </c>
      <c r="N523" s="54" t="s">
        <v>18</v>
      </c>
      <c r="O523" s="54" t="s">
        <v>21</v>
      </c>
      <c r="P523" s="54" t="s">
        <v>21</v>
      </c>
      <c r="Q523" s="54" t="s">
        <v>18</v>
      </c>
      <c r="R523" s="157" t="s">
        <v>151</v>
      </c>
      <c r="S523" s="55" t="s">
        <v>0</v>
      </c>
      <c r="T523" s="1">
        <f t="shared" ref="T523:Z523" si="146">302-17.3</f>
        <v>284.7</v>
      </c>
      <c r="U523" s="1">
        <f t="shared" si="146"/>
        <v>284.7</v>
      </c>
      <c r="V523" s="1">
        <f t="shared" si="146"/>
        <v>284.7</v>
      </c>
      <c r="W523" s="1">
        <f t="shared" si="146"/>
        <v>284.7</v>
      </c>
      <c r="X523" s="1">
        <f t="shared" si="146"/>
        <v>284.7</v>
      </c>
      <c r="Y523" s="1">
        <f t="shared" si="146"/>
        <v>284.7</v>
      </c>
      <c r="Z523" s="1">
        <f t="shared" si="146"/>
        <v>284.7</v>
      </c>
      <c r="AA523" s="59">
        <f t="shared" si="143"/>
        <v>1708.2</v>
      </c>
      <c r="AB523" s="41">
        <v>2023</v>
      </c>
      <c r="AC523" s="33"/>
    </row>
    <row r="524" spans="1:34" ht="31.2" customHeight="1" x14ac:dyDescent="0.3">
      <c r="A524" s="54" t="s">
        <v>18</v>
      </c>
      <c r="B524" s="54" t="s">
        <v>18</v>
      </c>
      <c r="C524" s="54" t="s">
        <v>24</v>
      </c>
      <c r="D524" s="54" t="s">
        <v>18</v>
      </c>
      <c r="E524" s="54" t="s">
        <v>24</v>
      </c>
      <c r="F524" s="54" t="s">
        <v>18</v>
      </c>
      <c r="G524" s="54" t="s">
        <v>21</v>
      </c>
      <c r="H524" s="54" t="s">
        <v>19</v>
      </c>
      <c r="I524" s="54" t="s">
        <v>24</v>
      </c>
      <c r="J524" s="54" t="s">
        <v>18</v>
      </c>
      <c r="K524" s="54" t="s">
        <v>18</v>
      </c>
      <c r="L524" s="54" t="s">
        <v>22</v>
      </c>
      <c r="M524" s="54" t="s">
        <v>19</v>
      </c>
      <c r="N524" s="54" t="s">
        <v>18</v>
      </c>
      <c r="O524" s="54" t="s">
        <v>21</v>
      </c>
      <c r="P524" s="54" t="s">
        <v>21</v>
      </c>
      <c r="Q524" s="54" t="s">
        <v>18</v>
      </c>
      <c r="R524" s="157"/>
      <c r="S524" s="55" t="s">
        <v>0</v>
      </c>
      <c r="T524" s="1">
        <f t="shared" ref="T524:Z524" si="147">284.7-29.7</f>
        <v>255</v>
      </c>
      <c r="U524" s="1">
        <f>284.7-29.7+24.6-218.9</f>
        <v>60.700000000000017</v>
      </c>
      <c r="V524" s="1">
        <f>284.7-29.7+27.8-282.8</f>
        <v>0</v>
      </c>
      <c r="W524" s="1">
        <v>0</v>
      </c>
      <c r="X524" s="1">
        <v>0</v>
      </c>
      <c r="Y524" s="1">
        <v>0</v>
      </c>
      <c r="Z524" s="1">
        <f t="shared" si="147"/>
        <v>255</v>
      </c>
      <c r="AA524" s="59">
        <f>SUM(T524:Z524)</f>
        <v>570.70000000000005</v>
      </c>
      <c r="AB524" s="58">
        <v>2024</v>
      </c>
      <c r="AC524" s="120"/>
    </row>
    <row r="525" spans="1:34" ht="34.200000000000003" customHeight="1" x14ac:dyDescent="0.3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61" t="s">
        <v>153</v>
      </c>
      <c r="S525" s="142" t="s">
        <v>50</v>
      </c>
      <c r="T525" s="2">
        <v>82</v>
      </c>
      <c r="U525" s="44">
        <v>20</v>
      </c>
      <c r="V525" s="2">
        <f>82-82</f>
        <v>0</v>
      </c>
      <c r="W525" s="2">
        <v>0</v>
      </c>
      <c r="X525" s="2">
        <v>0</v>
      </c>
      <c r="Y525" s="2">
        <v>0</v>
      </c>
      <c r="Z525" s="2">
        <v>82</v>
      </c>
      <c r="AA525" s="49">
        <f>SUM(T525:Z525)</f>
        <v>184</v>
      </c>
      <c r="AB525" s="41">
        <v>2024</v>
      </c>
      <c r="AC525" s="33"/>
    </row>
    <row r="526" spans="1:34" ht="5.25" hidden="1" customHeight="1" x14ac:dyDescent="0.3">
      <c r="A526" s="54" t="s">
        <v>18</v>
      </c>
      <c r="B526" s="54" t="s">
        <v>18</v>
      </c>
      <c r="C526" s="54" t="s">
        <v>21</v>
      </c>
      <c r="D526" s="54" t="s">
        <v>18</v>
      </c>
      <c r="E526" s="54" t="s">
        <v>21</v>
      </c>
      <c r="F526" s="54" t="s">
        <v>18</v>
      </c>
      <c r="G526" s="54" t="s">
        <v>22</v>
      </c>
      <c r="H526" s="54" t="s">
        <v>18</v>
      </c>
      <c r="I526" s="54" t="s">
        <v>23</v>
      </c>
      <c r="J526" s="54" t="s">
        <v>18</v>
      </c>
      <c r="K526" s="54" t="s">
        <v>18</v>
      </c>
      <c r="L526" s="54" t="s">
        <v>20</v>
      </c>
      <c r="M526" s="54" t="s">
        <v>19</v>
      </c>
      <c r="N526" s="54" t="s">
        <v>18</v>
      </c>
      <c r="O526" s="54" t="s">
        <v>21</v>
      </c>
      <c r="P526" s="54" t="s">
        <v>21</v>
      </c>
      <c r="Q526" s="54" t="s">
        <v>18</v>
      </c>
      <c r="R526" s="157" t="s">
        <v>151</v>
      </c>
      <c r="S526" s="55" t="s">
        <v>0</v>
      </c>
      <c r="T526" s="1">
        <f t="shared" ref="T526:Z526" si="148">398.8-22.7</f>
        <v>376.1</v>
      </c>
      <c r="U526" s="1">
        <f t="shared" si="148"/>
        <v>376.1</v>
      </c>
      <c r="V526" s="1">
        <f t="shared" si="148"/>
        <v>376.1</v>
      </c>
      <c r="W526" s="1">
        <f t="shared" si="148"/>
        <v>376.1</v>
      </c>
      <c r="X526" s="1">
        <f t="shared" si="148"/>
        <v>376.1</v>
      </c>
      <c r="Y526" s="1">
        <f t="shared" si="148"/>
        <v>376.1</v>
      </c>
      <c r="Z526" s="1">
        <f t="shared" si="148"/>
        <v>376.1</v>
      </c>
      <c r="AA526" s="59">
        <f t="shared" si="143"/>
        <v>2256.6</v>
      </c>
      <c r="AB526" s="41">
        <v>2023</v>
      </c>
      <c r="AC526" s="33"/>
    </row>
    <row r="527" spans="1:34" ht="31.2" customHeight="1" x14ac:dyDescent="0.3">
      <c r="A527" s="54" t="s">
        <v>18</v>
      </c>
      <c r="B527" s="54" t="s">
        <v>18</v>
      </c>
      <c r="C527" s="54" t="s">
        <v>21</v>
      </c>
      <c r="D527" s="54" t="s">
        <v>18</v>
      </c>
      <c r="E527" s="54" t="s">
        <v>24</v>
      </c>
      <c r="F527" s="54" t="s">
        <v>18</v>
      </c>
      <c r="G527" s="54" t="s">
        <v>21</v>
      </c>
      <c r="H527" s="54" t="s">
        <v>19</v>
      </c>
      <c r="I527" s="54" t="s">
        <v>24</v>
      </c>
      <c r="J527" s="54" t="s">
        <v>18</v>
      </c>
      <c r="K527" s="54" t="s">
        <v>18</v>
      </c>
      <c r="L527" s="54" t="s">
        <v>22</v>
      </c>
      <c r="M527" s="54" t="s">
        <v>19</v>
      </c>
      <c r="N527" s="54" t="s">
        <v>18</v>
      </c>
      <c r="O527" s="54" t="s">
        <v>21</v>
      </c>
      <c r="P527" s="54" t="s">
        <v>21</v>
      </c>
      <c r="Q527" s="54" t="s">
        <v>18</v>
      </c>
      <c r="R527" s="157"/>
      <c r="S527" s="55" t="s">
        <v>0</v>
      </c>
      <c r="T527" s="1">
        <f t="shared" ref="T527:Z527" si="149">376.1+59.3</f>
        <v>435.40000000000003</v>
      </c>
      <c r="U527" s="1">
        <f>376.1+59.3+42-370.4</f>
        <v>107.00000000000006</v>
      </c>
      <c r="V527" s="1">
        <f>376.1+59.3+47.5-482.9</f>
        <v>0</v>
      </c>
      <c r="W527" s="1">
        <v>0</v>
      </c>
      <c r="X527" s="1">
        <v>0</v>
      </c>
      <c r="Y527" s="1">
        <v>0</v>
      </c>
      <c r="Z527" s="1">
        <f t="shared" si="149"/>
        <v>435.40000000000003</v>
      </c>
      <c r="AA527" s="59">
        <f>SUM(T527:Z527)</f>
        <v>977.80000000000018</v>
      </c>
      <c r="AB527" s="58">
        <v>2024</v>
      </c>
      <c r="AC527" s="33"/>
    </row>
    <row r="528" spans="1:34" ht="33" customHeight="1" x14ac:dyDescent="0.3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61" t="s">
        <v>154</v>
      </c>
      <c r="S528" s="142" t="s">
        <v>50</v>
      </c>
      <c r="T528" s="2">
        <v>140</v>
      </c>
      <c r="U528" s="44">
        <v>31</v>
      </c>
      <c r="V528" s="2">
        <f>141-141</f>
        <v>0</v>
      </c>
      <c r="W528" s="2">
        <v>0</v>
      </c>
      <c r="X528" s="2">
        <v>0</v>
      </c>
      <c r="Y528" s="2">
        <v>0</v>
      </c>
      <c r="Z528" s="2">
        <v>135</v>
      </c>
      <c r="AA528" s="49">
        <f>SUM(T528:Z528)</f>
        <v>306</v>
      </c>
      <c r="AB528" s="41">
        <v>2024</v>
      </c>
      <c r="AC528" s="33"/>
    </row>
    <row r="529" spans="1:29" ht="35.25" hidden="1" customHeight="1" x14ac:dyDescent="0.3">
      <c r="A529" s="54" t="s">
        <v>18</v>
      </c>
      <c r="B529" s="54" t="s">
        <v>18</v>
      </c>
      <c r="C529" s="54" t="s">
        <v>25</v>
      </c>
      <c r="D529" s="54" t="s">
        <v>18</v>
      </c>
      <c r="E529" s="54" t="s">
        <v>21</v>
      </c>
      <c r="F529" s="54" t="s">
        <v>18</v>
      </c>
      <c r="G529" s="54" t="s">
        <v>22</v>
      </c>
      <c r="H529" s="54" t="s">
        <v>18</v>
      </c>
      <c r="I529" s="54" t="s">
        <v>23</v>
      </c>
      <c r="J529" s="54" t="s">
        <v>18</v>
      </c>
      <c r="K529" s="54" t="s">
        <v>18</v>
      </c>
      <c r="L529" s="54" t="s">
        <v>20</v>
      </c>
      <c r="M529" s="54" t="s">
        <v>19</v>
      </c>
      <c r="N529" s="54" t="s">
        <v>18</v>
      </c>
      <c r="O529" s="54" t="s">
        <v>21</v>
      </c>
      <c r="P529" s="54" t="s">
        <v>21</v>
      </c>
      <c r="Q529" s="54" t="s">
        <v>18</v>
      </c>
      <c r="R529" s="157" t="s">
        <v>151</v>
      </c>
      <c r="S529" s="55" t="s">
        <v>0</v>
      </c>
      <c r="T529" s="1">
        <f t="shared" ref="T529:Z529" si="150">214.1-12.2</f>
        <v>201.9</v>
      </c>
      <c r="U529" s="1">
        <f t="shared" si="150"/>
        <v>201.9</v>
      </c>
      <c r="V529" s="1">
        <f t="shared" si="150"/>
        <v>201.9</v>
      </c>
      <c r="W529" s="1">
        <f t="shared" si="150"/>
        <v>201.9</v>
      </c>
      <c r="X529" s="1">
        <f t="shared" si="150"/>
        <v>201.9</v>
      </c>
      <c r="Y529" s="1">
        <f t="shared" si="150"/>
        <v>201.9</v>
      </c>
      <c r="Z529" s="1">
        <f t="shared" si="150"/>
        <v>201.9</v>
      </c>
      <c r="AA529" s="59">
        <f t="shared" si="143"/>
        <v>1211.4000000000001</v>
      </c>
      <c r="AB529" s="41">
        <v>2023</v>
      </c>
    </row>
    <row r="530" spans="1:29" ht="31.2" customHeight="1" x14ac:dyDescent="0.3">
      <c r="A530" s="54" t="s">
        <v>18</v>
      </c>
      <c r="B530" s="54" t="s">
        <v>18</v>
      </c>
      <c r="C530" s="54" t="s">
        <v>25</v>
      </c>
      <c r="D530" s="54" t="s">
        <v>18</v>
      </c>
      <c r="E530" s="54" t="s">
        <v>24</v>
      </c>
      <c r="F530" s="54" t="s">
        <v>18</v>
      </c>
      <c r="G530" s="54" t="s">
        <v>21</v>
      </c>
      <c r="H530" s="54" t="s">
        <v>19</v>
      </c>
      <c r="I530" s="54" t="s">
        <v>24</v>
      </c>
      <c r="J530" s="54" t="s">
        <v>18</v>
      </c>
      <c r="K530" s="54" t="s">
        <v>18</v>
      </c>
      <c r="L530" s="54" t="s">
        <v>22</v>
      </c>
      <c r="M530" s="54" t="s">
        <v>19</v>
      </c>
      <c r="N530" s="54" t="s">
        <v>18</v>
      </c>
      <c r="O530" s="54" t="s">
        <v>21</v>
      </c>
      <c r="P530" s="54" t="s">
        <v>21</v>
      </c>
      <c r="Q530" s="54" t="s">
        <v>18</v>
      </c>
      <c r="R530" s="157"/>
      <c r="S530" s="55" t="s">
        <v>0</v>
      </c>
      <c r="T530" s="1">
        <f>201.9+15.8</f>
        <v>217.70000000000002</v>
      </c>
      <c r="U530" s="1">
        <f>201.9+15.8+1.7+19.3-186.2</f>
        <v>52.500000000000028</v>
      </c>
      <c r="V530" s="1">
        <f>201.9+15.8+1.7+22.1-241.5</f>
        <v>0</v>
      </c>
      <c r="W530" s="1">
        <v>0</v>
      </c>
      <c r="X530" s="1">
        <v>0</v>
      </c>
      <c r="Y530" s="1">
        <v>0</v>
      </c>
      <c r="Z530" s="1">
        <f>201.9+15.8+1.7</f>
        <v>219.4</v>
      </c>
      <c r="AA530" s="59">
        <f>SUM(T530:Z530)</f>
        <v>489.6</v>
      </c>
      <c r="AB530" s="58">
        <v>2024</v>
      </c>
      <c r="AC530" s="33"/>
    </row>
    <row r="531" spans="1:29" ht="49.5" hidden="1" customHeight="1" x14ac:dyDescent="0.3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40" t="s">
        <v>155</v>
      </c>
      <c r="S531" s="41" t="s">
        <v>8</v>
      </c>
      <c r="T531" s="2">
        <v>56</v>
      </c>
      <c r="U531" s="2">
        <v>56</v>
      </c>
      <c r="V531" s="2">
        <v>56</v>
      </c>
      <c r="W531" s="2">
        <v>56</v>
      </c>
      <c r="X531" s="2">
        <v>56</v>
      </c>
      <c r="Y531" s="2">
        <v>56</v>
      </c>
      <c r="Z531" s="2">
        <v>56</v>
      </c>
      <c r="AA531" s="49">
        <f>T531+U531+V531+W531+X531+Y531+Z531</f>
        <v>392</v>
      </c>
      <c r="AB531" s="41">
        <v>2024</v>
      </c>
    </row>
    <row r="532" spans="1:29" ht="64.5" hidden="1" customHeight="1" x14ac:dyDescent="0.3">
      <c r="A532" s="54" t="s">
        <v>18</v>
      </c>
      <c r="B532" s="54" t="s">
        <v>19</v>
      </c>
      <c r="C532" s="54" t="s">
        <v>24</v>
      </c>
      <c r="D532" s="54" t="s">
        <v>18</v>
      </c>
      <c r="E532" s="54" t="s">
        <v>21</v>
      </c>
      <c r="F532" s="54" t="s">
        <v>18</v>
      </c>
      <c r="G532" s="54" t="s">
        <v>22</v>
      </c>
      <c r="H532" s="54" t="s">
        <v>18</v>
      </c>
      <c r="I532" s="54" t="s">
        <v>23</v>
      </c>
      <c r="J532" s="54" t="s">
        <v>18</v>
      </c>
      <c r="K532" s="54" t="s">
        <v>18</v>
      </c>
      <c r="L532" s="54" t="s">
        <v>22</v>
      </c>
      <c r="M532" s="54" t="s">
        <v>18</v>
      </c>
      <c r="N532" s="54" t="s">
        <v>22</v>
      </c>
      <c r="O532" s="54" t="s">
        <v>22</v>
      </c>
      <c r="P532" s="54" t="s">
        <v>18</v>
      </c>
      <c r="Q532" s="54" t="s">
        <v>22</v>
      </c>
      <c r="R532" s="68" t="s">
        <v>156</v>
      </c>
      <c r="S532" s="55" t="s">
        <v>0</v>
      </c>
      <c r="T532" s="1"/>
      <c r="U532" s="1"/>
      <c r="V532" s="1"/>
      <c r="W532" s="1"/>
      <c r="X532" s="1"/>
      <c r="Y532" s="1"/>
      <c r="Z532" s="1"/>
      <c r="AA532" s="59">
        <f>T532+U532+V532+W532+X532+Y532</f>
        <v>0</v>
      </c>
      <c r="AB532" s="142">
        <v>2020</v>
      </c>
    </row>
    <row r="533" spans="1:29" ht="34.200000000000003" customHeight="1" x14ac:dyDescent="0.3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61" t="s">
        <v>155</v>
      </c>
      <c r="S533" s="142" t="s">
        <v>50</v>
      </c>
      <c r="T533" s="44">
        <v>70</v>
      </c>
      <c r="U533" s="44">
        <v>15</v>
      </c>
      <c r="V533" s="44">
        <f>68-68</f>
        <v>0</v>
      </c>
      <c r="W533" s="44">
        <v>0</v>
      </c>
      <c r="X533" s="44">
        <v>0</v>
      </c>
      <c r="Y533" s="44">
        <v>0</v>
      </c>
      <c r="Z533" s="44">
        <v>68</v>
      </c>
      <c r="AA533" s="45">
        <f t="shared" ref="AA533:AA538" si="151">SUM(T533:Z533)</f>
        <v>153</v>
      </c>
      <c r="AB533" s="41">
        <v>2024</v>
      </c>
      <c r="AC533" s="33"/>
    </row>
    <row r="534" spans="1:29" s="131" customFormat="1" hidden="1" x14ac:dyDescent="0.3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160" t="s">
        <v>342</v>
      </c>
      <c r="S534" s="55" t="s">
        <v>0</v>
      </c>
      <c r="T534" s="1">
        <v>0</v>
      </c>
      <c r="U534" s="1">
        <f>U535+U536</f>
        <v>459.4</v>
      </c>
      <c r="V534" s="1">
        <v>0</v>
      </c>
      <c r="W534" s="1">
        <v>0</v>
      </c>
      <c r="X534" s="1">
        <v>0</v>
      </c>
      <c r="Y534" s="1">
        <v>0</v>
      </c>
      <c r="Z534" s="1">
        <v>0</v>
      </c>
      <c r="AA534" s="59">
        <f t="shared" si="151"/>
        <v>459.4</v>
      </c>
      <c r="AB534" s="55">
        <v>2019</v>
      </c>
      <c r="AC534" s="130"/>
    </row>
    <row r="535" spans="1:29" s="131" customFormat="1" ht="31.2" customHeight="1" x14ac:dyDescent="0.3">
      <c r="A535" s="54" t="s">
        <v>18</v>
      </c>
      <c r="B535" s="54" t="s">
        <v>19</v>
      </c>
      <c r="C535" s="54" t="s">
        <v>20</v>
      </c>
      <c r="D535" s="54" t="s">
        <v>18</v>
      </c>
      <c r="E535" s="54" t="s">
        <v>24</v>
      </c>
      <c r="F535" s="54" t="s">
        <v>18</v>
      </c>
      <c r="G535" s="54" t="s">
        <v>21</v>
      </c>
      <c r="H535" s="54" t="s">
        <v>19</v>
      </c>
      <c r="I535" s="54" t="s">
        <v>24</v>
      </c>
      <c r="J535" s="54" t="s">
        <v>18</v>
      </c>
      <c r="K535" s="54" t="s">
        <v>18</v>
      </c>
      <c r="L535" s="54" t="s">
        <v>22</v>
      </c>
      <c r="M535" s="54" t="s">
        <v>19</v>
      </c>
      <c r="N535" s="54" t="s">
        <v>18</v>
      </c>
      <c r="O535" s="54" t="s">
        <v>21</v>
      </c>
      <c r="P535" s="54" t="s">
        <v>21</v>
      </c>
      <c r="Q535" s="54" t="s">
        <v>18</v>
      </c>
      <c r="R535" s="160"/>
      <c r="S535" s="55" t="s">
        <v>0</v>
      </c>
      <c r="T535" s="1">
        <v>0</v>
      </c>
      <c r="U535" s="1">
        <v>459.4</v>
      </c>
      <c r="V535" s="1">
        <v>0</v>
      </c>
      <c r="W535" s="1">
        <v>0</v>
      </c>
      <c r="X535" s="1">
        <v>0</v>
      </c>
      <c r="Y535" s="1">
        <v>0</v>
      </c>
      <c r="Z535" s="1">
        <v>0</v>
      </c>
      <c r="AA535" s="59">
        <f t="shared" si="151"/>
        <v>459.4</v>
      </c>
      <c r="AB535" s="55">
        <v>2019</v>
      </c>
      <c r="AC535" s="130"/>
    </row>
    <row r="536" spans="1:29" s="131" customFormat="1" hidden="1" x14ac:dyDescent="0.3">
      <c r="A536" s="54" t="s">
        <v>18</v>
      </c>
      <c r="B536" s="54" t="s">
        <v>19</v>
      </c>
      <c r="C536" s="54" t="s">
        <v>20</v>
      </c>
      <c r="D536" s="54" t="s">
        <v>18</v>
      </c>
      <c r="E536" s="54" t="s">
        <v>24</v>
      </c>
      <c r="F536" s="54" t="s">
        <v>18</v>
      </c>
      <c r="G536" s="54" t="s">
        <v>21</v>
      </c>
      <c r="H536" s="54" t="s">
        <v>19</v>
      </c>
      <c r="I536" s="54" t="s">
        <v>24</v>
      </c>
      <c r="J536" s="54" t="s">
        <v>18</v>
      </c>
      <c r="K536" s="54" t="s">
        <v>18</v>
      </c>
      <c r="L536" s="54" t="s">
        <v>22</v>
      </c>
      <c r="M536" s="54" t="s">
        <v>18</v>
      </c>
      <c r="N536" s="54" t="s">
        <v>18</v>
      </c>
      <c r="O536" s="54" t="s">
        <v>18</v>
      </c>
      <c r="P536" s="54" t="s">
        <v>18</v>
      </c>
      <c r="Q536" s="54" t="s">
        <v>18</v>
      </c>
      <c r="R536" s="160"/>
      <c r="S536" s="55" t="s">
        <v>0</v>
      </c>
      <c r="T536" s="1">
        <v>0</v>
      </c>
      <c r="U536" s="1">
        <v>0</v>
      </c>
      <c r="V536" s="1">
        <v>0</v>
      </c>
      <c r="W536" s="1">
        <v>0</v>
      </c>
      <c r="X536" s="1">
        <v>0</v>
      </c>
      <c r="Y536" s="1">
        <v>0</v>
      </c>
      <c r="Z536" s="1">
        <v>0</v>
      </c>
      <c r="AA536" s="59">
        <f t="shared" si="151"/>
        <v>0</v>
      </c>
      <c r="AB536" s="55">
        <v>2019</v>
      </c>
      <c r="AC536" s="130"/>
    </row>
    <row r="537" spans="1:29" s="72" customFormat="1" ht="46.8" x14ac:dyDescent="0.3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 t="s">
        <v>323</v>
      </c>
      <c r="N537" s="39"/>
      <c r="O537" s="39"/>
      <c r="P537" s="39"/>
      <c r="Q537" s="39"/>
      <c r="R537" s="40" t="s">
        <v>322</v>
      </c>
      <c r="S537" s="41" t="s">
        <v>287</v>
      </c>
      <c r="T537" s="44">
        <v>0</v>
      </c>
      <c r="U537" s="44">
        <v>175</v>
      </c>
      <c r="V537" s="44">
        <v>0</v>
      </c>
      <c r="W537" s="44">
        <v>0</v>
      </c>
      <c r="X537" s="44">
        <v>0</v>
      </c>
      <c r="Y537" s="44">
        <v>0</v>
      </c>
      <c r="Z537" s="44">
        <v>0</v>
      </c>
      <c r="AA537" s="49">
        <f t="shared" si="151"/>
        <v>175</v>
      </c>
      <c r="AB537" s="41">
        <v>2019</v>
      </c>
      <c r="AC537" s="111"/>
    </row>
    <row r="538" spans="1:29" s="72" customFormat="1" ht="31.2" x14ac:dyDescent="0.3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40" t="s">
        <v>303</v>
      </c>
      <c r="S538" s="41" t="s">
        <v>50</v>
      </c>
      <c r="T538" s="44">
        <v>0</v>
      </c>
      <c r="U538" s="44">
        <v>347</v>
      </c>
      <c r="V538" s="44">
        <v>0</v>
      </c>
      <c r="W538" s="44">
        <v>0</v>
      </c>
      <c r="X538" s="44">
        <v>0</v>
      </c>
      <c r="Y538" s="44">
        <v>0</v>
      </c>
      <c r="Z538" s="44">
        <v>0</v>
      </c>
      <c r="AA538" s="49">
        <f t="shared" si="151"/>
        <v>347</v>
      </c>
      <c r="AB538" s="41">
        <v>2019</v>
      </c>
      <c r="AC538" s="111"/>
    </row>
    <row r="539" spans="1:29" ht="46.8" x14ac:dyDescent="0.3">
      <c r="A539" s="54"/>
      <c r="B539" s="54"/>
      <c r="C539" s="54"/>
      <c r="D539" s="54" t="s">
        <v>18</v>
      </c>
      <c r="E539" s="54" t="s">
        <v>21</v>
      </c>
      <c r="F539" s="54" t="s">
        <v>18</v>
      </c>
      <c r="G539" s="54" t="s">
        <v>22</v>
      </c>
      <c r="H539" s="54" t="s">
        <v>19</v>
      </c>
      <c r="I539" s="54" t="s">
        <v>24</v>
      </c>
      <c r="J539" s="54" t="s">
        <v>18</v>
      </c>
      <c r="K539" s="54" t="s">
        <v>18</v>
      </c>
      <c r="L539" s="54" t="s">
        <v>22</v>
      </c>
      <c r="M539" s="54" t="s">
        <v>43</v>
      </c>
      <c r="N539" s="54" t="s">
        <v>43</v>
      </c>
      <c r="O539" s="54" t="s">
        <v>43</v>
      </c>
      <c r="P539" s="54" t="s">
        <v>43</v>
      </c>
      <c r="Q539" s="54" t="s">
        <v>43</v>
      </c>
      <c r="R539" s="68" t="s">
        <v>157</v>
      </c>
      <c r="S539" s="58" t="s">
        <v>0</v>
      </c>
      <c r="T539" s="59">
        <f t="shared" ref="T539:Y540" si="152">T541+T543+T545+T547</f>
        <v>69.999999999999986</v>
      </c>
      <c r="U539" s="59">
        <f t="shared" si="152"/>
        <v>25.8</v>
      </c>
      <c r="V539" s="59">
        <f t="shared" si="152"/>
        <v>57.699999999999996</v>
      </c>
      <c r="W539" s="59">
        <f t="shared" si="152"/>
        <v>0</v>
      </c>
      <c r="X539" s="59">
        <f t="shared" si="152"/>
        <v>0</v>
      </c>
      <c r="Y539" s="59">
        <f t="shared" si="152"/>
        <v>0</v>
      </c>
      <c r="Z539" s="59">
        <f t="shared" ref="Z539" si="153">Z541+Z543+Z545+Z547</f>
        <v>0</v>
      </c>
      <c r="AA539" s="59">
        <f>AA541+AA543+AA545+AA547</f>
        <v>153.5</v>
      </c>
      <c r="AB539" s="58">
        <v>2020</v>
      </c>
      <c r="AC539" s="120"/>
    </row>
    <row r="540" spans="1:29" ht="46.8" x14ac:dyDescent="0.3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61" t="s">
        <v>158</v>
      </c>
      <c r="S540" s="142" t="s">
        <v>38</v>
      </c>
      <c r="T540" s="44">
        <f t="shared" si="152"/>
        <v>27</v>
      </c>
      <c r="U540" s="44">
        <f t="shared" si="152"/>
        <v>4</v>
      </c>
      <c r="V540" s="44">
        <f t="shared" si="152"/>
        <v>16</v>
      </c>
      <c r="W540" s="44">
        <f t="shared" si="152"/>
        <v>0</v>
      </c>
      <c r="X540" s="44">
        <f t="shared" si="152"/>
        <v>0</v>
      </c>
      <c r="Y540" s="44">
        <f t="shared" si="152"/>
        <v>0</v>
      </c>
      <c r="Z540" s="44">
        <f>Z542+Z544+Z546+Z548</f>
        <v>0</v>
      </c>
      <c r="AA540" s="49">
        <f>T540+U540+V540+W540+X540+Y540+Z540</f>
        <v>47</v>
      </c>
      <c r="AB540" s="41">
        <v>2020</v>
      </c>
      <c r="AC540" s="33"/>
    </row>
    <row r="541" spans="1:29" ht="46.8" x14ac:dyDescent="0.3">
      <c r="A541" s="54" t="s">
        <v>18</v>
      </c>
      <c r="B541" s="54" t="s">
        <v>18</v>
      </c>
      <c r="C541" s="54" t="s">
        <v>22</v>
      </c>
      <c r="D541" s="54" t="s">
        <v>18</v>
      </c>
      <c r="E541" s="54" t="s">
        <v>21</v>
      </c>
      <c r="F541" s="54" t="s">
        <v>18</v>
      </c>
      <c r="G541" s="54" t="s">
        <v>22</v>
      </c>
      <c r="H541" s="54" t="s">
        <v>19</v>
      </c>
      <c r="I541" s="54" t="s">
        <v>24</v>
      </c>
      <c r="J541" s="54" t="s">
        <v>18</v>
      </c>
      <c r="K541" s="54" t="s">
        <v>18</v>
      </c>
      <c r="L541" s="54" t="s">
        <v>22</v>
      </c>
      <c r="M541" s="54" t="s">
        <v>43</v>
      </c>
      <c r="N541" s="54" t="s">
        <v>43</v>
      </c>
      <c r="O541" s="54" t="s">
        <v>43</v>
      </c>
      <c r="P541" s="54" t="s">
        <v>43</v>
      </c>
      <c r="Q541" s="54" t="s">
        <v>43</v>
      </c>
      <c r="R541" s="68" t="s">
        <v>159</v>
      </c>
      <c r="S541" s="55" t="s">
        <v>0</v>
      </c>
      <c r="T541" s="1">
        <f>18.2-1.8-10.9</f>
        <v>5.4999999999999982</v>
      </c>
      <c r="U541" s="1">
        <v>18.2</v>
      </c>
      <c r="V541" s="1">
        <v>0</v>
      </c>
      <c r="W541" s="1">
        <v>0</v>
      </c>
      <c r="X541" s="1">
        <v>0</v>
      </c>
      <c r="Y541" s="1">
        <v>0</v>
      </c>
      <c r="Z541" s="1">
        <v>0</v>
      </c>
      <c r="AA541" s="59">
        <f t="shared" ref="AA541:AA548" si="154">T541+U541+V541+W541+X541+Y541+Z541</f>
        <v>23.699999999999996</v>
      </c>
      <c r="AB541" s="58">
        <v>2020</v>
      </c>
      <c r="AC541" s="120"/>
    </row>
    <row r="542" spans="1:29" ht="46.8" x14ac:dyDescent="0.3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61" t="s">
        <v>160</v>
      </c>
      <c r="S542" s="142" t="s">
        <v>38</v>
      </c>
      <c r="T542" s="82">
        <v>2</v>
      </c>
      <c r="U542" s="82">
        <v>2</v>
      </c>
      <c r="V542" s="82">
        <v>0</v>
      </c>
      <c r="W542" s="82">
        <v>0</v>
      </c>
      <c r="X542" s="82">
        <v>0</v>
      </c>
      <c r="Y542" s="82">
        <v>0</v>
      </c>
      <c r="Z542" s="82">
        <v>0</v>
      </c>
      <c r="AA542" s="98">
        <f t="shared" si="154"/>
        <v>4</v>
      </c>
      <c r="AB542" s="41">
        <v>2020</v>
      </c>
      <c r="AC542" s="33"/>
    </row>
    <row r="543" spans="1:29" ht="46.8" x14ac:dyDescent="0.3">
      <c r="A543" s="54" t="s">
        <v>18</v>
      </c>
      <c r="B543" s="54" t="s">
        <v>18</v>
      </c>
      <c r="C543" s="54" t="s">
        <v>24</v>
      </c>
      <c r="D543" s="54" t="s">
        <v>18</v>
      </c>
      <c r="E543" s="54" t="s">
        <v>21</v>
      </c>
      <c r="F543" s="54" t="s">
        <v>18</v>
      </c>
      <c r="G543" s="54" t="s">
        <v>22</v>
      </c>
      <c r="H543" s="54" t="s">
        <v>19</v>
      </c>
      <c r="I543" s="54" t="s">
        <v>24</v>
      </c>
      <c r="J543" s="54" t="s">
        <v>18</v>
      </c>
      <c r="K543" s="54" t="s">
        <v>18</v>
      </c>
      <c r="L543" s="54" t="s">
        <v>22</v>
      </c>
      <c r="M543" s="54" t="s">
        <v>43</v>
      </c>
      <c r="N543" s="54" t="s">
        <v>43</v>
      </c>
      <c r="O543" s="54" t="s">
        <v>43</v>
      </c>
      <c r="P543" s="54" t="s">
        <v>43</v>
      </c>
      <c r="Q543" s="54" t="s">
        <v>43</v>
      </c>
      <c r="R543" s="68" t="s">
        <v>159</v>
      </c>
      <c r="S543" s="55" t="s">
        <v>0</v>
      </c>
      <c r="T543" s="1">
        <f>72.8-43.1</f>
        <v>29.699999999999996</v>
      </c>
      <c r="U543" s="1">
        <f>31.8-31.8</f>
        <v>0</v>
      </c>
      <c r="V543" s="1">
        <v>31.8</v>
      </c>
      <c r="W543" s="1">
        <v>0</v>
      </c>
      <c r="X543" s="1">
        <v>0</v>
      </c>
      <c r="Y543" s="1">
        <v>0</v>
      </c>
      <c r="Z543" s="1">
        <v>0</v>
      </c>
      <c r="AA543" s="59">
        <f t="shared" si="154"/>
        <v>61.5</v>
      </c>
      <c r="AB543" s="58">
        <v>2020</v>
      </c>
      <c r="AC543" s="120"/>
    </row>
    <row r="544" spans="1:29" ht="46.2" customHeight="1" x14ac:dyDescent="0.3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61" t="s">
        <v>161</v>
      </c>
      <c r="S544" s="142" t="s">
        <v>38</v>
      </c>
      <c r="T544" s="82">
        <v>10</v>
      </c>
      <c r="U544" s="82">
        <v>0</v>
      </c>
      <c r="V544" s="82">
        <v>10</v>
      </c>
      <c r="W544" s="82">
        <v>0</v>
      </c>
      <c r="X544" s="82">
        <v>0</v>
      </c>
      <c r="Y544" s="82">
        <v>0</v>
      </c>
      <c r="Z544" s="82">
        <v>0</v>
      </c>
      <c r="AA544" s="98">
        <f t="shared" si="154"/>
        <v>20</v>
      </c>
      <c r="AB544" s="41">
        <v>2020</v>
      </c>
      <c r="AC544" s="33"/>
    </row>
    <row r="545" spans="1:33" ht="46.8" x14ac:dyDescent="0.3">
      <c r="A545" s="54" t="s">
        <v>18</v>
      </c>
      <c r="B545" s="54" t="s">
        <v>18</v>
      </c>
      <c r="C545" s="54" t="s">
        <v>21</v>
      </c>
      <c r="D545" s="54" t="s">
        <v>18</v>
      </c>
      <c r="E545" s="54" t="s">
        <v>21</v>
      </c>
      <c r="F545" s="54" t="s">
        <v>18</v>
      </c>
      <c r="G545" s="54" t="s">
        <v>22</v>
      </c>
      <c r="H545" s="54" t="s">
        <v>19</v>
      </c>
      <c r="I545" s="54" t="s">
        <v>24</v>
      </c>
      <c r="J545" s="54" t="s">
        <v>18</v>
      </c>
      <c r="K545" s="54" t="s">
        <v>18</v>
      </c>
      <c r="L545" s="54" t="s">
        <v>22</v>
      </c>
      <c r="M545" s="54" t="s">
        <v>43</v>
      </c>
      <c r="N545" s="54" t="s">
        <v>43</v>
      </c>
      <c r="O545" s="54" t="s">
        <v>43</v>
      </c>
      <c r="P545" s="54" t="s">
        <v>43</v>
      </c>
      <c r="Q545" s="54" t="s">
        <v>43</v>
      </c>
      <c r="R545" s="68" t="s">
        <v>162</v>
      </c>
      <c r="S545" s="55" t="s">
        <v>0</v>
      </c>
      <c r="T545" s="63">
        <f>36.4-4.4</f>
        <v>32</v>
      </c>
      <c r="U545" s="63">
        <f>34.6-34.6</f>
        <v>0</v>
      </c>
      <c r="V545" s="63">
        <f>31.8-22.8</f>
        <v>9</v>
      </c>
      <c r="W545" s="1">
        <v>0</v>
      </c>
      <c r="X545" s="1">
        <v>0</v>
      </c>
      <c r="Y545" s="1">
        <v>0</v>
      </c>
      <c r="Z545" s="1">
        <v>0</v>
      </c>
      <c r="AA545" s="59">
        <f t="shared" si="154"/>
        <v>41</v>
      </c>
      <c r="AB545" s="58">
        <v>2020</v>
      </c>
      <c r="AC545" s="119"/>
      <c r="AD545" s="102"/>
    </row>
    <row r="546" spans="1:33" ht="46.8" x14ac:dyDescent="0.3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61" t="s">
        <v>163</v>
      </c>
      <c r="S546" s="142" t="s">
        <v>38</v>
      </c>
      <c r="T546" s="82">
        <v>14</v>
      </c>
      <c r="U546" s="82">
        <v>0</v>
      </c>
      <c r="V546" s="82">
        <v>2</v>
      </c>
      <c r="W546" s="82">
        <v>0</v>
      </c>
      <c r="X546" s="82">
        <v>0</v>
      </c>
      <c r="Y546" s="82">
        <v>0</v>
      </c>
      <c r="Z546" s="82">
        <v>0</v>
      </c>
      <c r="AA546" s="99">
        <f t="shared" si="154"/>
        <v>16</v>
      </c>
      <c r="AB546" s="41">
        <v>2020</v>
      </c>
      <c r="AC546" s="33"/>
    </row>
    <row r="547" spans="1:33" ht="46.8" x14ac:dyDescent="0.3">
      <c r="A547" s="54" t="s">
        <v>18</v>
      </c>
      <c r="B547" s="54" t="s">
        <v>18</v>
      </c>
      <c r="C547" s="54" t="s">
        <v>25</v>
      </c>
      <c r="D547" s="54" t="s">
        <v>18</v>
      </c>
      <c r="E547" s="54" t="s">
        <v>21</v>
      </c>
      <c r="F547" s="54" t="s">
        <v>18</v>
      </c>
      <c r="G547" s="54" t="s">
        <v>22</v>
      </c>
      <c r="H547" s="54" t="s">
        <v>19</v>
      </c>
      <c r="I547" s="54" t="s">
        <v>24</v>
      </c>
      <c r="J547" s="54" t="s">
        <v>18</v>
      </c>
      <c r="K547" s="54" t="s">
        <v>18</v>
      </c>
      <c r="L547" s="54" t="s">
        <v>22</v>
      </c>
      <c r="M547" s="54" t="s">
        <v>43</v>
      </c>
      <c r="N547" s="54" t="s">
        <v>43</v>
      </c>
      <c r="O547" s="54" t="s">
        <v>43</v>
      </c>
      <c r="P547" s="54" t="s">
        <v>43</v>
      </c>
      <c r="Q547" s="54" t="s">
        <v>43</v>
      </c>
      <c r="R547" s="68" t="s">
        <v>159</v>
      </c>
      <c r="S547" s="55" t="s">
        <v>0</v>
      </c>
      <c r="T547" s="1">
        <f>35-32.2</f>
        <v>2.7999999999999972</v>
      </c>
      <c r="U547" s="1">
        <f>35-27.4</f>
        <v>7.6000000000000014</v>
      </c>
      <c r="V547" s="1">
        <f>35-18.1</f>
        <v>16.899999999999999</v>
      </c>
      <c r="W547" s="1">
        <v>0</v>
      </c>
      <c r="X547" s="1">
        <v>0</v>
      </c>
      <c r="Y547" s="1">
        <v>0</v>
      </c>
      <c r="Z547" s="1">
        <v>0</v>
      </c>
      <c r="AA547" s="59">
        <f t="shared" si="154"/>
        <v>27.299999999999997</v>
      </c>
      <c r="AB547" s="58">
        <v>2020</v>
      </c>
      <c r="AC547" s="33"/>
    </row>
    <row r="548" spans="1:33" ht="46.8" x14ac:dyDescent="0.3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61" t="s">
        <v>164</v>
      </c>
      <c r="S548" s="142" t="s">
        <v>38</v>
      </c>
      <c r="T548" s="41">
        <v>1</v>
      </c>
      <c r="U548" s="41">
        <v>2</v>
      </c>
      <c r="V548" s="41">
        <v>4</v>
      </c>
      <c r="W548" s="82">
        <v>0</v>
      </c>
      <c r="X548" s="82">
        <v>0</v>
      </c>
      <c r="Y548" s="82">
        <v>0</v>
      </c>
      <c r="Z548" s="82">
        <v>0</v>
      </c>
      <c r="AA548" s="49">
        <f t="shared" si="154"/>
        <v>7</v>
      </c>
      <c r="AB548" s="41">
        <v>2020</v>
      </c>
      <c r="AC548" s="33"/>
    </row>
    <row r="549" spans="1:33" ht="31.2" hidden="1" x14ac:dyDescent="0.3">
      <c r="A549" s="54" t="s">
        <v>18</v>
      </c>
      <c r="B549" s="54" t="s">
        <v>19</v>
      </c>
      <c r="C549" s="54" t="s">
        <v>20</v>
      </c>
      <c r="D549" s="54" t="s">
        <v>18</v>
      </c>
      <c r="E549" s="54" t="s">
        <v>24</v>
      </c>
      <c r="F549" s="54" t="s">
        <v>18</v>
      </c>
      <c r="G549" s="54" t="s">
        <v>21</v>
      </c>
      <c r="H549" s="54" t="s">
        <v>19</v>
      </c>
      <c r="I549" s="54" t="s">
        <v>24</v>
      </c>
      <c r="J549" s="54" t="s">
        <v>18</v>
      </c>
      <c r="K549" s="54" t="s">
        <v>18</v>
      </c>
      <c r="L549" s="54" t="s">
        <v>22</v>
      </c>
      <c r="M549" s="54" t="s">
        <v>18</v>
      </c>
      <c r="N549" s="54" t="s">
        <v>18</v>
      </c>
      <c r="O549" s="54" t="s">
        <v>18</v>
      </c>
      <c r="P549" s="54" t="s">
        <v>18</v>
      </c>
      <c r="Q549" s="54" t="s">
        <v>18</v>
      </c>
      <c r="R549" s="69" t="s">
        <v>304</v>
      </c>
      <c r="S549" s="58" t="s">
        <v>0</v>
      </c>
      <c r="T549" s="59">
        <v>0</v>
      </c>
      <c r="U549" s="59">
        <v>0</v>
      </c>
      <c r="V549" s="59">
        <v>0</v>
      </c>
      <c r="W549" s="1">
        <v>0</v>
      </c>
      <c r="X549" s="59">
        <v>0</v>
      </c>
      <c r="Y549" s="59">
        <v>0</v>
      </c>
      <c r="Z549" s="59">
        <v>0</v>
      </c>
      <c r="AA549" s="59">
        <f>T549+U549+V549+W549+X549+Y549</f>
        <v>0</v>
      </c>
      <c r="AB549" s="58">
        <v>2019</v>
      </c>
      <c r="AC549" s="33"/>
    </row>
    <row r="550" spans="1:33" ht="31.2" hidden="1" x14ac:dyDescent="0.3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61" t="s">
        <v>173</v>
      </c>
      <c r="S550" s="142" t="s">
        <v>38</v>
      </c>
      <c r="T550" s="41">
        <v>0</v>
      </c>
      <c r="U550" s="41">
        <v>1</v>
      </c>
      <c r="V550" s="41">
        <v>0</v>
      </c>
      <c r="W550" s="82">
        <v>0</v>
      </c>
      <c r="X550" s="41">
        <v>0</v>
      </c>
      <c r="Y550" s="41">
        <v>0</v>
      </c>
      <c r="Z550" s="41">
        <v>0</v>
      </c>
      <c r="AA550" s="49">
        <v>1</v>
      </c>
      <c r="AB550" s="41">
        <v>2019</v>
      </c>
      <c r="AC550" s="33"/>
    </row>
    <row r="551" spans="1:33" ht="78" hidden="1" x14ac:dyDescent="0.3">
      <c r="A551" s="54" t="s">
        <v>18</v>
      </c>
      <c r="B551" s="54" t="s">
        <v>19</v>
      </c>
      <c r="C551" s="54" t="s">
        <v>20</v>
      </c>
      <c r="D551" s="54" t="s">
        <v>18</v>
      </c>
      <c r="E551" s="54" t="s">
        <v>24</v>
      </c>
      <c r="F551" s="54" t="s">
        <v>18</v>
      </c>
      <c r="G551" s="54" t="s">
        <v>21</v>
      </c>
      <c r="H551" s="54" t="s">
        <v>19</v>
      </c>
      <c r="I551" s="54" t="s">
        <v>24</v>
      </c>
      <c r="J551" s="54" t="s">
        <v>18</v>
      </c>
      <c r="K551" s="54" t="s">
        <v>18</v>
      </c>
      <c r="L551" s="54" t="s">
        <v>22</v>
      </c>
      <c r="M551" s="54" t="s">
        <v>18</v>
      </c>
      <c r="N551" s="54" t="s">
        <v>18</v>
      </c>
      <c r="O551" s="54" t="s">
        <v>18</v>
      </c>
      <c r="P551" s="54" t="s">
        <v>18</v>
      </c>
      <c r="Q551" s="54" t="s">
        <v>18</v>
      </c>
      <c r="R551" s="69" t="s">
        <v>305</v>
      </c>
      <c r="S551" s="58" t="s">
        <v>0</v>
      </c>
      <c r="T551" s="59">
        <v>0</v>
      </c>
      <c r="U551" s="59">
        <v>0</v>
      </c>
      <c r="V551" s="59">
        <v>0</v>
      </c>
      <c r="W551" s="1">
        <v>0</v>
      </c>
      <c r="X551" s="59">
        <v>0</v>
      </c>
      <c r="Y551" s="59">
        <v>0</v>
      </c>
      <c r="Z551" s="59">
        <v>0</v>
      </c>
      <c r="AA551" s="59">
        <f>T551+U551+V551+W551+X551+Y551</f>
        <v>0</v>
      </c>
      <c r="AB551" s="58">
        <v>2019</v>
      </c>
      <c r="AC551" s="33"/>
    </row>
    <row r="552" spans="1:33" s="72" customFormat="1" ht="33" hidden="1" customHeight="1" x14ac:dyDescent="0.3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40" t="s">
        <v>306</v>
      </c>
      <c r="S552" s="41" t="s">
        <v>38</v>
      </c>
      <c r="T552" s="41">
        <v>0</v>
      </c>
      <c r="U552" s="41">
        <v>1</v>
      </c>
      <c r="V552" s="41">
        <v>0</v>
      </c>
      <c r="W552" s="82">
        <v>0</v>
      </c>
      <c r="X552" s="41">
        <v>0</v>
      </c>
      <c r="Y552" s="41">
        <v>0</v>
      </c>
      <c r="Z552" s="41">
        <v>0</v>
      </c>
      <c r="AA552" s="49">
        <f>U552</f>
        <v>1</v>
      </c>
      <c r="AB552" s="41">
        <v>2019</v>
      </c>
      <c r="AC552" s="111"/>
    </row>
    <row r="553" spans="1:33" ht="78" x14ac:dyDescent="0.3">
      <c r="A553" s="54" t="s">
        <v>18</v>
      </c>
      <c r="B553" s="54" t="s">
        <v>19</v>
      </c>
      <c r="C553" s="54" t="s">
        <v>20</v>
      </c>
      <c r="D553" s="54" t="s">
        <v>18</v>
      </c>
      <c r="E553" s="54" t="s">
        <v>24</v>
      </c>
      <c r="F553" s="54" t="s">
        <v>18</v>
      </c>
      <c r="G553" s="54" t="s">
        <v>21</v>
      </c>
      <c r="H553" s="54" t="s">
        <v>19</v>
      </c>
      <c r="I553" s="54" t="s">
        <v>24</v>
      </c>
      <c r="J553" s="54" t="s">
        <v>18</v>
      </c>
      <c r="K553" s="54" t="s">
        <v>18</v>
      </c>
      <c r="L553" s="54" t="s">
        <v>22</v>
      </c>
      <c r="M553" s="54" t="s">
        <v>19</v>
      </c>
      <c r="N553" s="54" t="s">
        <v>18</v>
      </c>
      <c r="O553" s="54" t="s">
        <v>21</v>
      </c>
      <c r="P553" s="54" t="s">
        <v>21</v>
      </c>
      <c r="Q553" s="54" t="s">
        <v>18</v>
      </c>
      <c r="R553" s="141" t="s">
        <v>318</v>
      </c>
      <c r="S553" s="58" t="s">
        <v>0</v>
      </c>
      <c r="T553" s="59">
        <v>0</v>
      </c>
      <c r="U553" s="59">
        <v>731.8</v>
      </c>
      <c r="V553" s="59">
        <v>0</v>
      </c>
      <c r="W553" s="59">
        <v>0</v>
      </c>
      <c r="X553" s="59">
        <v>0</v>
      </c>
      <c r="Y553" s="59">
        <v>0</v>
      </c>
      <c r="Z553" s="59">
        <v>0</v>
      </c>
      <c r="AA553" s="59">
        <f>T553+U553+V553+W553+X553+Y553</f>
        <v>731.8</v>
      </c>
      <c r="AB553" s="58">
        <v>2019</v>
      </c>
    </row>
    <row r="554" spans="1:33" s="72" customFormat="1" ht="30.6" customHeight="1" x14ac:dyDescent="0.3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40" t="s">
        <v>307</v>
      </c>
      <c r="S554" s="41" t="s">
        <v>50</v>
      </c>
      <c r="T554" s="44">
        <v>0</v>
      </c>
      <c r="U554" s="44">
        <v>347</v>
      </c>
      <c r="V554" s="44">
        <v>0</v>
      </c>
      <c r="W554" s="44">
        <v>0</v>
      </c>
      <c r="X554" s="44">
        <v>0</v>
      </c>
      <c r="Y554" s="44">
        <v>0</v>
      </c>
      <c r="Z554" s="44">
        <v>0</v>
      </c>
      <c r="AA554" s="49">
        <f>U554</f>
        <v>347</v>
      </c>
      <c r="AB554" s="73">
        <v>2019</v>
      </c>
      <c r="AC554" s="111"/>
    </row>
    <row r="555" spans="1:33" ht="52.2" customHeight="1" x14ac:dyDescent="0.3">
      <c r="A555" s="54" t="s">
        <v>18</v>
      </c>
      <c r="B555" s="54" t="s">
        <v>19</v>
      </c>
      <c r="C555" s="54" t="s">
        <v>20</v>
      </c>
      <c r="D555" s="54" t="s">
        <v>18</v>
      </c>
      <c r="E555" s="54" t="s">
        <v>24</v>
      </c>
      <c r="F555" s="54" t="s">
        <v>18</v>
      </c>
      <c r="G555" s="54" t="s">
        <v>21</v>
      </c>
      <c r="H555" s="54" t="s">
        <v>19</v>
      </c>
      <c r="I555" s="54" t="s">
        <v>24</v>
      </c>
      <c r="J555" s="54" t="s">
        <v>18</v>
      </c>
      <c r="K555" s="54" t="s">
        <v>18</v>
      </c>
      <c r="L555" s="54" t="s">
        <v>22</v>
      </c>
      <c r="M555" s="54" t="s">
        <v>43</v>
      </c>
      <c r="N555" s="54" t="s">
        <v>43</v>
      </c>
      <c r="O555" s="54" t="s">
        <v>43</v>
      </c>
      <c r="P555" s="54" t="s">
        <v>43</v>
      </c>
      <c r="Q555" s="54" t="s">
        <v>43</v>
      </c>
      <c r="R555" s="69" t="s">
        <v>319</v>
      </c>
      <c r="S555" s="58" t="s">
        <v>0</v>
      </c>
      <c r="T555" s="59">
        <v>0</v>
      </c>
      <c r="U555" s="59">
        <v>6000</v>
      </c>
      <c r="V555" s="59">
        <v>0</v>
      </c>
      <c r="W555" s="59">
        <v>0</v>
      </c>
      <c r="X555" s="59">
        <v>0</v>
      </c>
      <c r="Y555" s="59">
        <v>0</v>
      </c>
      <c r="Z555" s="59">
        <v>0</v>
      </c>
      <c r="AA555" s="59">
        <f>T555+U555+V555+W555+X555+Y555</f>
        <v>6000</v>
      </c>
      <c r="AB555" s="58">
        <v>2019</v>
      </c>
      <c r="AC555" s="33"/>
    </row>
    <row r="556" spans="1:33" s="72" customFormat="1" ht="52.8" customHeight="1" x14ac:dyDescent="0.3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40" t="s">
        <v>321</v>
      </c>
      <c r="S556" s="41" t="s">
        <v>38</v>
      </c>
      <c r="T556" s="41">
        <v>0</v>
      </c>
      <c r="U556" s="41">
        <v>1</v>
      </c>
      <c r="V556" s="41">
        <v>0</v>
      </c>
      <c r="W556" s="41">
        <v>0</v>
      </c>
      <c r="X556" s="41">
        <v>0</v>
      </c>
      <c r="Y556" s="41">
        <v>0</v>
      </c>
      <c r="Z556" s="41">
        <v>0</v>
      </c>
      <c r="AA556" s="49">
        <f>U556</f>
        <v>1</v>
      </c>
      <c r="AB556" s="41">
        <v>2019</v>
      </c>
      <c r="AC556" s="111"/>
    </row>
    <row r="557" spans="1:33" ht="46.2" customHeight="1" x14ac:dyDescent="0.3">
      <c r="A557" s="46"/>
      <c r="B557" s="46"/>
      <c r="C557" s="46"/>
      <c r="D557" s="46"/>
      <c r="E557" s="46"/>
      <c r="F557" s="46"/>
      <c r="G557" s="46"/>
      <c r="H557" s="46" t="s">
        <v>19</v>
      </c>
      <c r="I557" s="46" t="s">
        <v>24</v>
      </c>
      <c r="J557" s="46" t="s">
        <v>18</v>
      </c>
      <c r="K557" s="46" t="s">
        <v>18</v>
      </c>
      <c r="L557" s="46" t="s">
        <v>24</v>
      </c>
      <c r="M557" s="46" t="s">
        <v>18</v>
      </c>
      <c r="N557" s="46" t="s">
        <v>18</v>
      </c>
      <c r="O557" s="46" t="s">
        <v>18</v>
      </c>
      <c r="P557" s="46" t="s">
        <v>18</v>
      </c>
      <c r="Q557" s="46" t="s">
        <v>18</v>
      </c>
      <c r="R557" s="75" t="s">
        <v>54</v>
      </c>
      <c r="S557" s="149" t="s">
        <v>0</v>
      </c>
      <c r="T557" s="148">
        <f t="shared" ref="T557:Y557" si="155">T559+T567+T570</f>
        <v>25348.3</v>
      </c>
      <c r="U557" s="148">
        <f t="shared" si="155"/>
        <v>35592.6</v>
      </c>
      <c r="V557" s="148">
        <f t="shared" si="155"/>
        <v>25348.3</v>
      </c>
      <c r="W557" s="148">
        <f>W559+W567+W570</f>
        <v>21770.400000000001</v>
      </c>
      <c r="X557" s="148">
        <f>X559+X567+X570</f>
        <v>21770.400000000001</v>
      </c>
      <c r="Y557" s="148">
        <f t="shared" si="155"/>
        <v>21770.400000000001</v>
      </c>
      <c r="Z557" s="148">
        <f t="shared" ref="Z557" si="156">Z559+Z567+Z570</f>
        <v>21770.400000000001</v>
      </c>
      <c r="AA557" s="148">
        <f>SUM(T557:Z557)</f>
        <v>173370.8</v>
      </c>
      <c r="AB557" s="149">
        <v>2024</v>
      </c>
    </row>
    <row r="558" spans="1:33" ht="46.8" x14ac:dyDescent="0.3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92" t="s">
        <v>165</v>
      </c>
      <c r="S558" s="142" t="s">
        <v>52</v>
      </c>
      <c r="T558" s="137">
        <f>T562</f>
        <v>2225</v>
      </c>
      <c r="U558" s="137">
        <f t="shared" ref="U558:AA558" si="157">U562</f>
        <v>2224</v>
      </c>
      <c r="V558" s="137">
        <f t="shared" si="157"/>
        <v>2224</v>
      </c>
      <c r="W558" s="137">
        <f t="shared" si="157"/>
        <v>2224</v>
      </c>
      <c r="X558" s="137">
        <f t="shared" si="157"/>
        <v>2224</v>
      </c>
      <c r="Y558" s="137">
        <f t="shared" si="157"/>
        <v>2224</v>
      </c>
      <c r="Z558" s="137">
        <f t="shared" ref="Z558" si="158">Z562</f>
        <v>2224</v>
      </c>
      <c r="AA558" s="138">
        <f t="shared" si="157"/>
        <v>2224</v>
      </c>
      <c r="AB558" s="41">
        <v>2024</v>
      </c>
      <c r="AD558" s="12"/>
      <c r="AE558" s="12"/>
      <c r="AF558" s="12"/>
      <c r="AG558" s="12"/>
    </row>
    <row r="559" spans="1:33" ht="18.600000000000001" customHeight="1" x14ac:dyDescent="0.3">
      <c r="A559" s="54"/>
      <c r="B559" s="54"/>
      <c r="C559" s="54"/>
      <c r="D559" s="54" t="s">
        <v>18</v>
      </c>
      <c r="E559" s="54" t="s">
        <v>21</v>
      </c>
      <c r="F559" s="54" t="s">
        <v>18</v>
      </c>
      <c r="G559" s="54" t="s">
        <v>22</v>
      </c>
      <c r="H559" s="54" t="s">
        <v>19</v>
      </c>
      <c r="I559" s="54" t="s">
        <v>24</v>
      </c>
      <c r="J559" s="54" t="s">
        <v>18</v>
      </c>
      <c r="K559" s="54" t="s">
        <v>18</v>
      </c>
      <c r="L559" s="54" t="s">
        <v>24</v>
      </c>
      <c r="M559" s="54" t="s">
        <v>43</v>
      </c>
      <c r="N559" s="54" t="s">
        <v>43</v>
      </c>
      <c r="O559" s="54" t="s">
        <v>43</v>
      </c>
      <c r="P559" s="54" t="s">
        <v>43</v>
      </c>
      <c r="Q559" s="54" t="s">
        <v>43</v>
      </c>
      <c r="R559" s="161" t="s">
        <v>166</v>
      </c>
      <c r="S559" s="58" t="s">
        <v>0</v>
      </c>
      <c r="T559" s="59">
        <v>25348.3</v>
      </c>
      <c r="U559" s="59">
        <f>23600+1311.8</f>
        <v>24911.8</v>
      </c>
      <c r="V559" s="59">
        <f>V560+V561</f>
        <v>25348.3</v>
      </c>
      <c r="W559" s="59">
        <f t="shared" ref="W559:Y559" si="159">W560+W561</f>
        <v>21770.400000000001</v>
      </c>
      <c r="X559" s="59">
        <f t="shared" si="159"/>
        <v>21770.400000000001</v>
      </c>
      <c r="Y559" s="59">
        <f t="shared" si="159"/>
        <v>21770.400000000001</v>
      </c>
      <c r="Z559" s="59">
        <f>Z560+Z561</f>
        <v>21770.400000000001</v>
      </c>
      <c r="AA559" s="59">
        <f>SUM(T559:Z559)</f>
        <v>162689.99999999997</v>
      </c>
      <c r="AB559" s="58">
        <v>2024</v>
      </c>
      <c r="AC559" s="33"/>
    </row>
    <row r="560" spans="1:33" x14ac:dyDescent="0.3">
      <c r="A560" s="54" t="s">
        <v>18</v>
      </c>
      <c r="B560" s="54" t="s">
        <v>19</v>
      </c>
      <c r="C560" s="54" t="s">
        <v>20</v>
      </c>
      <c r="D560" s="54" t="s">
        <v>18</v>
      </c>
      <c r="E560" s="54" t="s">
        <v>21</v>
      </c>
      <c r="F560" s="54" t="s">
        <v>18</v>
      </c>
      <c r="G560" s="54" t="s">
        <v>22</v>
      </c>
      <c r="H560" s="54" t="s">
        <v>19</v>
      </c>
      <c r="I560" s="54" t="s">
        <v>24</v>
      </c>
      <c r="J560" s="54" t="s">
        <v>18</v>
      </c>
      <c r="K560" s="54" t="s">
        <v>18</v>
      </c>
      <c r="L560" s="54" t="s">
        <v>24</v>
      </c>
      <c r="M560" s="54" t="s">
        <v>43</v>
      </c>
      <c r="N560" s="54" t="s">
        <v>43</v>
      </c>
      <c r="O560" s="54" t="s">
        <v>43</v>
      </c>
      <c r="P560" s="54" t="s">
        <v>43</v>
      </c>
      <c r="Q560" s="54" t="s">
        <v>43</v>
      </c>
      <c r="R560" s="162"/>
      <c r="S560" s="58" t="s">
        <v>0</v>
      </c>
      <c r="T560" s="1">
        <v>25348.3</v>
      </c>
      <c r="U560" s="1">
        <v>24911.8</v>
      </c>
      <c r="V560" s="1">
        <v>0</v>
      </c>
      <c r="W560" s="1">
        <v>0</v>
      </c>
      <c r="X560" s="1">
        <v>0</v>
      </c>
      <c r="Y560" s="1">
        <v>0</v>
      </c>
      <c r="Z560" s="1">
        <v>0</v>
      </c>
      <c r="AA560" s="59">
        <f t="shared" ref="AA560:AA561" si="160">SUM(T560:Z560)</f>
        <v>50260.1</v>
      </c>
      <c r="AB560" s="55">
        <v>2019</v>
      </c>
      <c r="AC560" s="33"/>
    </row>
    <row r="561" spans="1:31" x14ac:dyDescent="0.3">
      <c r="A561" s="54" t="s">
        <v>18</v>
      </c>
      <c r="B561" s="54" t="s">
        <v>19</v>
      </c>
      <c r="C561" s="54" t="s">
        <v>24</v>
      </c>
      <c r="D561" s="54" t="s">
        <v>18</v>
      </c>
      <c r="E561" s="54" t="s">
        <v>21</v>
      </c>
      <c r="F561" s="54" t="s">
        <v>18</v>
      </c>
      <c r="G561" s="54" t="s">
        <v>22</v>
      </c>
      <c r="H561" s="54" t="s">
        <v>19</v>
      </c>
      <c r="I561" s="54" t="s">
        <v>24</v>
      </c>
      <c r="J561" s="54" t="s">
        <v>18</v>
      </c>
      <c r="K561" s="54" t="s">
        <v>18</v>
      </c>
      <c r="L561" s="54" t="s">
        <v>24</v>
      </c>
      <c r="M561" s="54" t="s">
        <v>43</v>
      </c>
      <c r="N561" s="54" t="s">
        <v>43</v>
      </c>
      <c r="O561" s="54" t="s">
        <v>43</v>
      </c>
      <c r="P561" s="54" t="s">
        <v>43</v>
      </c>
      <c r="Q561" s="54" t="s">
        <v>43</v>
      </c>
      <c r="R561" s="163"/>
      <c r="S561" s="58" t="s">
        <v>0</v>
      </c>
      <c r="T561" s="1">
        <v>0</v>
      </c>
      <c r="U561" s="1">
        <v>0</v>
      </c>
      <c r="V561" s="1">
        <v>25348.3</v>
      </c>
      <c r="W561" s="1">
        <v>21770.400000000001</v>
      </c>
      <c r="X561" s="1">
        <v>21770.400000000001</v>
      </c>
      <c r="Y561" s="1">
        <v>21770.400000000001</v>
      </c>
      <c r="Z561" s="1">
        <v>21770.400000000001</v>
      </c>
      <c r="AA561" s="59">
        <f t="shared" si="160"/>
        <v>112429.9</v>
      </c>
      <c r="AB561" s="55">
        <v>2024</v>
      </c>
      <c r="AC561" s="33"/>
    </row>
    <row r="562" spans="1:31" ht="34.200000000000003" customHeight="1" x14ac:dyDescent="0.3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80" t="s">
        <v>167</v>
      </c>
      <c r="S562" s="142" t="s">
        <v>52</v>
      </c>
      <c r="T562" s="2">
        <v>2225</v>
      </c>
      <c r="U562" s="44">
        <v>2224</v>
      </c>
      <c r="V562" s="44">
        <v>2224</v>
      </c>
      <c r="W562" s="44">
        <v>2224</v>
      </c>
      <c r="X562" s="44">
        <v>2224</v>
      </c>
      <c r="Y562" s="44">
        <v>2224</v>
      </c>
      <c r="Z562" s="44">
        <v>2224</v>
      </c>
      <c r="AA562" s="45">
        <f>Z562</f>
        <v>2224</v>
      </c>
      <c r="AB562" s="41">
        <v>2024</v>
      </c>
      <c r="AC562" s="33"/>
    </row>
    <row r="563" spans="1:31" ht="31.2" x14ac:dyDescent="0.3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61" t="s">
        <v>168</v>
      </c>
      <c r="S563" s="142" t="s">
        <v>53</v>
      </c>
      <c r="T563" s="2">
        <v>365</v>
      </c>
      <c r="U563" s="2">
        <v>365</v>
      </c>
      <c r="V563" s="44">
        <v>366</v>
      </c>
      <c r="W563" s="2">
        <v>365</v>
      </c>
      <c r="X563" s="2">
        <v>365</v>
      </c>
      <c r="Y563" s="2">
        <v>365</v>
      </c>
      <c r="Z563" s="2">
        <v>366</v>
      </c>
      <c r="AA563" s="45">
        <f>T563+U563+V563+W563+X563+Y563+Z563</f>
        <v>2557</v>
      </c>
      <c r="AB563" s="41">
        <v>2024</v>
      </c>
      <c r="AC563" s="33"/>
    </row>
    <row r="564" spans="1:31" ht="32.25" customHeight="1" x14ac:dyDescent="0.3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61" t="s">
        <v>169</v>
      </c>
      <c r="S564" s="142" t="s">
        <v>38</v>
      </c>
      <c r="T564" s="2">
        <v>4917</v>
      </c>
      <c r="U564" s="2">
        <v>5400</v>
      </c>
      <c r="V564" s="2">
        <v>4794</v>
      </c>
      <c r="W564" s="2">
        <v>4878</v>
      </c>
      <c r="X564" s="2">
        <v>4878</v>
      </c>
      <c r="Y564" s="2">
        <v>5400</v>
      </c>
      <c r="Z564" s="2">
        <v>5400</v>
      </c>
      <c r="AA564" s="45">
        <f t="shared" ref="AA564:AA566" si="161">T564+U564+V564+W564+X564+Y564+Z564</f>
        <v>35667</v>
      </c>
      <c r="AB564" s="41">
        <v>2024</v>
      </c>
      <c r="AC564" s="123"/>
      <c r="AD564" s="102"/>
    </row>
    <row r="565" spans="1:31" ht="46.8" x14ac:dyDescent="0.3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61" t="s">
        <v>170</v>
      </c>
      <c r="S565" s="142" t="s">
        <v>38</v>
      </c>
      <c r="T565" s="2">
        <v>4598</v>
      </c>
      <c r="U565" s="44">
        <v>4558</v>
      </c>
      <c r="V565" s="2">
        <v>4594</v>
      </c>
      <c r="W565" s="2">
        <v>4558</v>
      </c>
      <c r="X565" s="2">
        <v>4558</v>
      </c>
      <c r="Y565" s="2">
        <v>4558</v>
      </c>
      <c r="Z565" s="2">
        <v>4558</v>
      </c>
      <c r="AA565" s="45">
        <f t="shared" si="161"/>
        <v>31982</v>
      </c>
      <c r="AB565" s="41">
        <v>2024</v>
      </c>
      <c r="AC565" s="123"/>
      <c r="AD565" s="102"/>
    </row>
    <row r="566" spans="1:31" ht="46.8" x14ac:dyDescent="0.3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61" t="s">
        <v>171</v>
      </c>
      <c r="S566" s="142" t="s">
        <v>38</v>
      </c>
      <c r="T566" s="2">
        <v>488</v>
      </c>
      <c r="U566" s="2">
        <v>550</v>
      </c>
      <c r="V566" s="2">
        <v>516</v>
      </c>
      <c r="W566" s="2">
        <v>490</v>
      </c>
      <c r="X566" s="2">
        <v>490</v>
      </c>
      <c r="Y566" s="2">
        <v>550</v>
      </c>
      <c r="Z566" s="2">
        <v>550</v>
      </c>
      <c r="AA566" s="45">
        <f t="shared" si="161"/>
        <v>3634</v>
      </c>
      <c r="AB566" s="41">
        <v>2024</v>
      </c>
      <c r="AC566" s="123"/>
      <c r="AD566" s="102"/>
    </row>
    <row r="567" spans="1:31" ht="39.6" hidden="1" customHeight="1" x14ac:dyDescent="0.3">
      <c r="A567" s="54" t="s">
        <v>18</v>
      </c>
      <c r="B567" s="54" t="s">
        <v>19</v>
      </c>
      <c r="C567" s="54" t="s">
        <v>20</v>
      </c>
      <c r="D567" s="54" t="s">
        <v>18</v>
      </c>
      <c r="E567" s="54" t="s">
        <v>21</v>
      </c>
      <c r="F567" s="54" t="s">
        <v>18</v>
      </c>
      <c r="G567" s="54" t="s">
        <v>22</v>
      </c>
      <c r="H567" s="54" t="s">
        <v>19</v>
      </c>
      <c r="I567" s="54" t="s">
        <v>24</v>
      </c>
      <c r="J567" s="54" t="s">
        <v>18</v>
      </c>
      <c r="K567" s="54" t="s">
        <v>18</v>
      </c>
      <c r="L567" s="54" t="s">
        <v>24</v>
      </c>
      <c r="M567" s="54" t="s">
        <v>18</v>
      </c>
      <c r="N567" s="54" t="s">
        <v>18</v>
      </c>
      <c r="O567" s="54" t="s">
        <v>18</v>
      </c>
      <c r="P567" s="54" t="s">
        <v>18</v>
      </c>
      <c r="Q567" s="54" t="s">
        <v>19</v>
      </c>
      <c r="R567" s="141" t="s">
        <v>172</v>
      </c>
      <c r="S567" s="58" t="s">
        <v>0</v>
      </c>
      <c r="T567" s="59">
        <v>0</v>
      </c>
      <c r="U567" s="59">
        <f>4000-4000</f>
        <v>0</v>
      </c>
      <c r="V567" s="59">
        <v>0</v>
      </c>
      <c r="W567" s="59">
        <v>0</v>
      </c>
      <c r="X567" s="59">
        <v>0</v>
      </c>
      <c r="Y567" s="59">
        <v>0</v>
      </c>
      <c r="Z567" s="59">
        <v>0</v>
      </c>
      <c r="AA567" s="59">
        <f>T567+U567+V567+W567+X567+Y567</f>
        <v>0</v>
      </c>
      <c r="AB567" s="58"/>
      <c r="AC567" s="33"/>
      <c r="AD567" s="102"/>
    </row>
    <row r="568" spans="1:31" ht="33.6" hidden="1" customHeight="1" x14ac:dyDescent="0.3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40" t="s">
        <v>284</v>
      </c>
      <c r="S568" s="41" t="s">
        <v>38</v>
      </c>
      <c r="T568" s="44">
        <v>0</v>
      </c>
      <c r="U568" s="44">
        <v>0</v>
      </c>
      <c r="V568" s="44">
        <v>0</v>
      </c>
      <c r="W568" s="44">
        <v>0</v>
      </c>
      <c r="X568" s="44">
        <v>0</v>
      </c>
      <c r="Y568" s="44">
        <v>0</v>
      </c>
      <c r="Z568" s="44">
        <v>0</v>
      </c>
      <c r="AA568" s="49">
        <v>0</v>
      </c>
      <c r="AB568" s="41"/>
      <c r="AC568" s="33"/>
      <c r="AD568" s="104"/>
      <c r="AE568" s="104"/>
    </row>
    <row r="569" spans="1:31" ht="31.2" hidden="1" x14ac:dyDescent="0.3">
      <c r="A569" s="83"/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40" t="s">
        <v>80</v>
      </c>
      <c r="S569" s="95" t="s">
        <v>9</v>
      </c>
      <c r="T569" s="44">
        <v>0</v>
      </c>
      <c r="U569" s="44">
        <v>0</v>
      </c>
      <c r="V569" s="44">
        <v>0</v>
      </c>
      <c r="W569" s="44">
        <v>0</v>
      </c>
      <c r="X569" s="44">
        <v>0</v>
      </c>
      <c r="Y569" s="44">
        <v>0</v>
      </c>
      <c r="Z569" s="44">
        <v>0</v>
      </c>
      <c r="AA569" s="49">
        <v>0</v>
      </c>
      <c r="AB569" s="41"/>
      <c r="AC569" s="33"/>
    </row>
    <row r="570" spans="1:31" ht="36" customHeight="1" x14ac:dyDescent="0.3">
      <c r="A570" s="54" t="s">
        <v>18</v>
      </c>
      <c r="B570" s="54" t="s">
        <v>19</v>
      </c>
      <c r="C570" s="54" t="s">
        <v>20</v>
      </c>
      <c r="D570" s="54" t="s">
        <v>18</v>
      </c>
      <c r="E570" s="54" t="s">
        <v>21</v>
      </c>
      <c r="F570" s="54" t="s">
        <v>18</v>
      </c>
      <c r="G570" s="54" t="s">
        <v>22</v>
      </c>
      <c r="H570" s="54" t="s">
        <v>19</v>
      </c>
      <c r="I570" s="54" t="s">
        <v>24</v>
      </c>
      <c r="J570" s="54" t="s">
        <v>18</v>
      </c>
      <c r="K570" s="54" t="s">
        <v>18</v>
      </c>
      <c r="L570" s="54" t="s">
        <v>24</v>
      </c>
      <c r="M570" s="54" t="s">
        <v>43</v>
      </c>
      <c r="N570" s="54" t="s">
        <v>43</v>
      </c>
      <c r="O570" s="54" t="s">
        <v>43</v>
      </c>
      <c r="P570" s="54" t="s">
        <v>43</v>
      </c>
      <c r="Q570" s="54" t="s">
        <v>43</v>
      </c>
      <c r="R570" s="141" t="s">
        <v>343</v>
      </c>
      <c r="S570" s="58" t="s">
        <v>0</v>
      </c>
      <c r="T570" s="59">
        <v>0</v>
      </c>
      <c r="U570" s="59">
        <f>10680+0.8</f>
        <v>10680.8</v>
      </c>
      <c r="V570" s="59">
        <v>0</v>
      </c>
      <c r="W570" s="59">
        <v>0</v>
      </c>
      <c r="X570" s="59">
        <v>0</v>
      </c>
      <c r="Y570" s="59">
        <v>0</v>
      </c>
      <c r="Z570" s="59">
        <v>0</v>
      </c>
      <c r="AA570" s="59">
        <f>T570+U570+V570+W570+X570+Y570</f>
        <v>10680.8</v>
      </c>
      <c r="AB570" s="58">
        <v>2019</v>
      </c>
      <c r="AC570" s="33"/>
      <c r="AD570" s="102"/>
    </row>
    <row r="571" spans="1:31" ht="31.2" x14ac:dyDescent="0.3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40" t="s">
        <v>285</v>
      </c>
      <c r="S571" s="41" t="s">
        <v>38</v>
      </c>
      <c r="T571" s="44">
        <v>0</v>
      </c>
      <c r="U571" s="44">
        <v>7300</v>
      </c>
      <c r="V571" s="44">
        <v>0</v>
      </c>
      <c r="W571" s="44">
        <v>0</v>
      </c>
      <c r="X571" s="44">
        <v>0</v>
      </c>
      <c r="Y571" s="44">
        <v>0</v>
      </c>
      <c r="Z571" s="44">
        <v>0</v>
      </c>
      <c r="AA571" s="49">
        <f>U571</f>
        <v>7300</v>
      </c>
      <c r="AB571" s="41">
        <v>2019</v>
      </c>
      <c r="AC571" s="33"/>
      <c r="AD571" s="104"/>
      <c r="AE571" s="104"/>
    </row>
    <row r="572" spans="1:31" x14ac:dyDescent="0.3">
      <c r="AB572" s="144" t="s">
        <v>58</v>
      </c>
    </row>
    <row r="573" spans="1:31" ht="31.2" customHeight="1" x14ac:dyDescent="0.3"/>
    <row r="574" spans="1:31" ht="40.200000000000003" customHeight="1" x14ac:dyDescent="0.3">
      <c r="A574" s="168" t="s">
        <v>334</v>
      </c>
      <c r="B574" s="168"/>
      <c r="C574" s="168"/>
      <c r="D574" s="168"/>
      <c r="E574" s="168"/>
      <c r="F574" s="168"/>
      <c r="G574" s="168"/>
      <c r="H574" s="168"/>
      <c r="I574" s="168"/>
      <c r="J574" s="168"/>
      <c r="K574" s="168"/>
      <c r="L574" s="168"/>
      <c r="M574" s="168"/>
      <c r="N574" s="168"/>
      <c r="O574" s="168"/>
      <c r="P574" s="168"/>
      <c r="Q574" s="168"/>
      <c r="R574" s="168"/>
      <c r="S574" s="168"/>
      <c r="T574" s="168"/>
      <c r="U574" s="168"/>
      <c r="V574" s="168"/>
      <c r="W574" s="168"/>
      <c r="X574" s="168"/>
      <c r="Y574" s="168"/>
      <c r="Z574" s="168"/>
      <c r="AA574" s="168"/>
      <c r="AB574" s="168"/>
    </row>
  </sheetData>
  <mergeCells count="77">
    <mergeCell ref="R429:R433"/>
    <mergeCell ref="R517:R518"/>
    <mergeCell ref="R520:R521"/>
    <mergeCell ref="A574:AB574"/>
    <mergeCell ref="R523:R524"/>
    <mergeCell ref="R526:R527"/>
    <mergeCell ref="R529:R530"/>
    <mergeCell ref="R440:R444"/>
    <mergeCell ref="R446:R450"/>
    <mergeCell ref="R452:R456"/>
    <mergeCell ref="R458:R462"/>
    <mergeCell ref="R464:R468"/>
    <mergeCell ref="R534:R536"/>
    <mergeCell ref="R559:R561"/>
    <mergeCell ref="R488:R490"/>
    <mergeCell ref="R328:R333"/>
    <mergeCell ref="R335:R340"/>
    <mergeCell ref="R342:R347"/>
    <mergeCell ref="R349:R354"/>
    <mergeCell ref="R435:R438"/>
    <mergeCell ref="R356:R361"/>
    <mergeCell ref="R363:R368"/>
    <mergeCell ref="R370:R375"/>
    <mergeCell ref="R377:R381"/>
    <mergeCell ref="R383:R387"/>
    <mergeCell ref="R389:R394"/>
    <mergeCell ref="R405:R409"/>
    <mergeCell ref="R411:R415"/>
    <mergeCell ref="R417:R421"/>
    <mergeCell ref="R423:R427"/>
    <mergeCell ref="R396:R401"/>
    <mergeCell ref="R295:R298"/>
    <mergeCell ref="R300:R303"/>
    <mergeCell ref="R315:R319"/>
    <mergeCell ref="R321:R326"/>
    <mergeCell ref="R305:R312"/>
    <mergeCell ref="R274:R278"/>
    <mergeCell ref="R280:R283"/>
    <mergeCell ref="R285:R288"/>
    <mergeCell ref="R290:R293"/>
    <mergeCell ref="R265:R271"/>
    <mergeCell ref="R235:R238"/>
    <mergeCell ref="R240:R244"/>
    <mergeCell ref="R246:R250"/>
    <mergeCell ref="R252:R256"/>
    <mergeCell ref="R259:R263"/>
    <mergeCell ref="R196:R199"/>
    <mergeCell ref="R203:R206"/>
    <mergeCell ref="R210:R213"/>
    <mergeCell ref="R221:R226"/>
    <mergeCell ref="R230:R233"/>
    <mergeCell ref="R39:R43"/>
    <mergeCell ref="R48:R51"/>
    <mergeCell ref="R175:R177"/>
    <mergeCell ref="R182:R185"/>
    <mergeCell ref="R189:R192"/>
    <mergeCell ref="R69:R74"/>
    <mergeCell ref="R76:R79"/>
    <mergeCell ref="R132:R137"/>
    <mergeCell ref="X7:AB7"/>
    <mergeCell ref="A8:AB8"/>
    <mergeCell ref="A9:AB9"/>
    <mergeCell ref="A10:AB10"/>
    <mergeCell ref="A12:Q12"/>
    <mergeCell ref="R12:R13"/>
    <mergeCell ref="S12:S13"/>
    <mergeCell ref="AA12:AB12"/>
    <mergeCell ref="A13:C13"/>
    <mergeCell ref="D13:E13"/>
    <mergeCell ref="F13:G13"/>
    <mergeCell ref="H13:Q13"/>
    <mergeCell ref="T12:Z12"/>
    <mergeCell ref="A1:AB1"/>
    <mergeCell ref="A4:AB4"/>
    <mergeCell ref="A5:AB5"/>
    <mergeCell ref="A6:AB6"/>
    <mergeCell ref="A3:AB3"/>
  </mergeCells>
  <pageMargins left="0.35433070866141736" right="0.31496062992125984" top="0.59055118110236227" bottom="0.59055118110236227" header="0" footer="0"/>
  <pageSetup paperSize="9" scale="65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2021-02-01T06:25:41Z</dcterms:modified>
</cp:coreProperties>
</file>